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SheetTabs="0" xWindow="65521" yWindow="65521" windowWidth="19320" windowHeight="7980" activeTab="0"/>
  </bookViews>
  <sheets>
    <sheet name="POWER CONSUMPTION CALCULATOR" sheetId="1" r:id="rId1"/>
    <sheet name="Headphone Power" sheetId="2" r:id="rId2"/>
    <sheet name="Speaker Power" sheetId="3" r:id="rId3"/>
    <sheet name="Power Options" sheetId="4" r:id="rId4"/>
    <sheet name="DCDC Efficiency" sheetId="5" r:id="rId5"/>
    <sheet name="Core &amp; EMI Power" sheetId="6" r:id="rId6"/>
  </sheets>
  <definedNames>
    <definedName name="_xlnm._FilterDatabase" localSheetId="1" hidden="1">'Headphone Power'!$A$1:$I$119</definedName>
    <definedName name="_xlnm._FilterDatabase" localSheetId="2" hidden="1">'Speaker Power'!$A$1:$I$50</definedName>
    <definedName name="AC161K">'POWER CONSUMPTION CALCULATOR'!$AV$29:$AV$39</definedName>
    <definedName name="AC16P">'POWER CONSUMPTION CALCULATOR'!$AX$29:$AX$35</definedName>
    <definedName name="AC321K">'POWER CONSUMPTION CALCULATOR'!$AU$29:$AU$38</definedName>
    <definedName name="AC32P">'POWER CONSUMPTION CALCULATOR'!$AW$29:$AW$34</definedName>
    <definedName name="D161K">'POWER CONSUMPTION CALCULATOR'!$AZ$29:$AZ$39</definedName>
    <definedName name="D16P">'POWER CONSUMPTION CALCULATOR'!$BB$29:$BB$35</definedName>
    <definedName name="D321K">'POWER CONSUMPTION CALCULATOR'!$AY$29:$AY$39</definedName>
    <definedName name="D32P">'POWER CONSUMPTION CALCULATOR'!$BA$29:$BA$35</definedName>
    <definedName name="DATE">OFFSET(#REF!,0,0,COUNTA(#REF!),1)</definedName>
    <definedName name="DDRLIST">'POWER CONSUMPTION CALCULATOR'!$BG$19:$BG$23</definedName>
    <definedName name="E">'POWER CONSUMPTION CALCULATOR'!$AS$60</definedName>
    <definedName name="EFF">'Headphone Power'!$I$2:$I$71</definedName>
    <definedName name="FILE">'Headphone Power'!$B$2:$B$71</definedName>
    <definedName name="HPPOWER">'Headphone Power'!$A$2:$I$71</definedName>
    <definedName name="LOAD">'Headphone Power'!$C$2:$C$71</definedName>
    <definedName name="mDDRLIST">'POWER CONSUMPTION CALCULATOR'!$AY$20:$AY$24</definedName>
    <definedName name="mDDRLIST2">'POWER CONSUMPTION CALCULATOR'!$AY$19:$AY$24</definedName>
    <definedName name="MODE">'Headphone Power'!$A$2:$A$71</definedName>
    <definedName name="PDDA">'POWER CONSUMPTION CALCULATOR'!$F$52</definedName>
    <definedName name="PDDD">'POWER CONSUMPTION CALCULATOR'!$F$45</definedName>
    <definedName name="PDDIO">'POWER CONSUMPTION CALCULATOR'!$F$49</definedName>
    <definedName name="PDDM">'POWER CONSUMPTION CALCULATOR'!$F$55</definedName>
    <definedName name="PIN">'Headphone Power'!$F$2:$F$71</definedName>
    <definedName name="POUT">'Headphone Power'!$H$2:$H$71</definedName>
    <definedName name="_xlnm.Print_Area" localSheetId="1">'Headphone Power'!$D$1:$N$83</definedName>
    <definedName name="_xlnm.Print_Area" localSheetId="2">'Speaker Power'!$C$1:$H$16</definedName>
    <definedName name="PUT">'Headphone Power'!$H$2:$H$71</definedName>
    <definedName name="S41K">'POWER CONSUMPTION CALCULATOR'!$BD$29:$BD$44</definedName>
    <definedName name="S4P">'POWER CONSUMPTION CALCULATOR'!$BF$29:$BF$36</definedName>
    <definedName name="S81K">'POWER CONSUMPTION CALCULATOR'!$BE$29:$BE$44</definedName>
    <definedName name="S8P">'POWER CONSUMPTION CALCULATOR'!$BG$29:$BG$36</definedName>
    <definedName name="SFILE">'Speaker Power'!$A$2:$A$49</definedName>
    <definedName name="SLOAD">'Speaker Power'!$B$2:$B$49</definedName>
    <definedName name="SPIN">'Speaker Power'!$E$2:$E$49</definedName>
    <definedName name="SVOUT">'Speaker Power'!$F$2:$F$49</definedName>
    <definedName name="VOUT">'Headphone Power'!$G$2:$G$71</definedName>
  </definedNames>
  <calcPr fullCalcOnLoad="1"/>
</workbook>
</file>

<file path=xl/comments6.xml><?xml version="1.0" encoding="utf-8"?>
<comments xmlns="http://schemas.openxmlformats.org/spreadsheetml/2006/main">
  <authors>
    <author>b18642</author>
  </authors>
  <commentList>
    <comment ref="K4" authorId="0">
      <text>
        <r>
          <rPr>
            <b/>
            <sz val="8"/>
            <rFont val="Tahoma"/>
            <family val="0"/>
          </rPr>
          <t>b18642:</t>
        </r>
        <r>
          <rPr>
            <sz val="8"/>
            <rFont val="Tahoma"/>
            <family val="0"/>
          </rPr>
          <t xml:space="preserve">
 Confirmed set to 0</t>
        </r>
      </text>
    </comment>
  </commentList>
</comments>
</file>

<file path=xl/sharedStrings.xml><?xml version="1.0" encoding="utf-8"?>
<sst xmlns="http://schemas.openxmlformats.org/spreadsheetml/2006/main" count="666" uniqueCount="244">
  <si>
    <t>Package</t>
  </si>
  <si>
    <t>VDD5V</t>
  </si>
  <si>
    <t>Speaker Impedance</t>
  </si>
  <si>
    <t>YES</t>
  </si>
  <si>
    <t>NO</t>
  </si>
  <si>
    <t>VALUE</t>
  </si>
  <si>
    <t>UNITS</t>
  </si>
  <si>
    <t>COMMENTS</t>
  </si>
  <si>
    <t>DCDC Efficiency</t>
  </si>
  <si>
    <t>%</t>
  </si>
  <si>
    <t>169BGA</t>
  </si>
  <si>
    <t>128QFP</t>
  </si>
  <si>
    <t>ThetaJA</t>
  </si>
  <si>
    <t>Temperature</t>
  </si>
  <si>
    <t>Industrial</t>
  </si>
  <si>
    <t>Commercial</t>
  </si>
  <si>
    <t>Max. Tj</t>
  </si>
  <si>
    <t>Max. Pd</t>
  </si>
  <si>
    <t>INSTRUCTIONS</t>
  </si>
  <si>
    <t>DRAM Type</t>
  </si>
  <si>
    <t>DRAM</t>
  </si>
  <si>
    <t>DDR</t>
  </si>
  <si>
    <t>mDDR</t>
  </si>
  <si>
    <t>Estimate from DCDC Efficiency Curves</t>
  </si>
  <si>
    <t>VDDD (V)</t>
  </si>
  <si>
    <t>HW_DIGCTRL ARMCACHE (note 1)</t>
  </si>
  <si>
    <t>CPUCLK / clk_p Frequency (MHz)</t>
  </si>
  <si>
    <t>HW_CLKCTRL CPU_DIV_CPU</t>
  </si>
  <si>
    <t>HW_CLKCTRL FRAC_CPUFRC / PFD</t>
  </si>
  <si>
    <t>AHBCLK / clk_h Frequency (MHz)</t>
  </si>
  <si>
    <t>HW_CLKCTRL HBUS_DIV</t>
  </si>
  <si>
    <t>EMICLK / clk_emi Frequency (MHz)</t>
  </si>
  <si>
    <t>HW_CLKCTRL EMI_DIV_EMI</t>
  </si>
  <si>
    <t>HW_CLKCTRL FRAC_EMIFRAC</t>
  </si>
  <si>
    <t>SUPPORTED DRAM</t>
  </si>
  <si>
    <t>00</t>
  </si>
  <si>
    <t xml:space="preserve"> </t>
  </si>
  <si>
    <t>Pink Noise</t>
  </si>
  <si>
    <t>1kHz 0dB Sine Wave</t>
  </si>
  <si>
    <t>IDDD (mA)</t>
  </si>
  <si>
    <t>PDDD (mW)</t>
  </si>
  <si>
    <t>VDDIO.EMI (V)</t>
  </si>
  <si>
    <t>IDDIO.EMI (mA)</t>
  </si>
  <si>
    <t>PDDIO.EMI (mW)</t>
  </si>
  <si>
    <t>VDDD Power vs. CPU CLK Frequency, VDDIO.EMI Power vs. EMI CLK Frequency</t>
  </si>
  <si>
    <t>VDDIO Power</t>
  </si>
  <si>
    <t>VDDIO.DRAM (V)</t>
  </si>
  <si>
    <t>IDDIO.DRAM (mA)</t>
  </si>
  <si>
    <t>PDDIO.DRAM (mW)</t>
  </si>
  <si>
    <t>Setup: Running Dhrystone Power test, Interupt Wait Disabled, HBUS Autoslow = OFF</t>
  </si>
  <si>
    <t>PLL</t>
  </si>
  <si>
    <t>ON</t>
  </si>
  <si>
    <t>DCDC_BATT</t>
  </si>
  <si>
    <t>Comments</t>
  </si>
  <si>
    <t>4.40V</t>
  </si>
  <si>
    <t>5.25V</t>
  </si>
  <si>
    <t>2.6V</t>
  </si>
  <si>
    <t>4.242V</t>
  </si>
  <si>
    <t>Operating Input Voltage Minimum</t>
  </si>
  <si>
    <t>Operating Input Voltage Maximum</t>
  </si>
  <si>
    <t>~12.5mW</t>
  </si>
  <si>
    <t>Ability to power down completely without disconnecting power supply?</t>
  </si>
  <si>
    <t>~4.2mW</t>
  </si>
  <si>
    <t>Power Consumption Minimum with output supply rails active</t>
  </si>
  <si>
    <t>Excludes DRAM power?</t>
  </si>
  <si>
    <t>On-Chip Power Dissipation</t>
  </si>
  <si>
    <t>Efficiency</t>
  </si>
  <si>
    <t>HIGHER</t>
  </si>
  <si>
    <t>LOWER</t>
  </si>
  <si>
    <t>FEATURE COMPARISON</t>
  </si>
  <si>
    <t xml:space="preserve">The output supply rails (VDDIO, VDDA, VDDD) will always be powered if VDD5V is powered.  </t>
  </si>
  <si>
    <t>For both power options, the maximum supply output current will be reduced as the Input Voltage minimum is approached.</t>
  </si>
  <si>
    <t>Headphone Mode</t>
  </si>
  <si>
    <t>File Type</t>
  </si>
  <si>
    <t>Headphone Load</t>
  </si>
  <si>
    <t>VDDA (V)</t>
  </si>
  <si>
    <t>IddHP (mA)</t>
  </si>
  <si>
    <t>Pin (mW)</t>
  </si>
  <si>
    <t>Vout (Vrms)</t>
  </si>
  <si>
    <t>Pout (mW)</t>
  </si>
  <si>
    <t>DAC Power</t>
  </si>
  <si>
    <t>Direct Drive</t>
  </si>
  <si>
    <t>Subtracted out from Pin</t>
  </si>
  <si>
    <t>AC-Coupled</t>
  </si>
  <si>
    <t>VDDS</t>
  </si>
  <si>
    <t>IDDS (mA)</t>
  </si>
  <si>
    <t>Mode</t>
  </si>
  <si>
    <t>File</t>
  </si>
  <si>
    <t>Load</t>
  </si>
  <si>
    <t>AC161K</t>
  </si>
  <si>
    <t>AC321K</t>
  </si>
  <si>
    <t>AC32P</t>
  </si>
  <si>
    <t>AC16P</t>
  </si>
  <si>
    <t>D321K</t>
  </si>
  <si>
    <t>D161K</t>
  </si>
  <si>
    <t>D32P</t>
  </si>
  <si>
    <t>D16P</t>
  </si>
  <si>
    <t>Pick Output Amplitude</t>
  </si>
  <si>
    <t xml:space="preserve">Ω </t>
  </si>
  <si>
    <t>mW</t>
  </si>
  <si>
    <t>Output Amplitude</t>
  </si>
  <si>
    <t>Headphone Load (Ω)</t>
  </si>
  <si>
    <t>DDR1</t>
  </si>
  <si>
    <t>Speaker Load (Ω)</t>
  </si>
  <si>
    <t>SPEAKER AMP</t>
  </si>
  <si>
    <t>S41K</t>
  </si>
  <si>
    <t>S81K</t>
  </si>
  <si>
    <t>S4P</t>
  </si>
  <si>
    <t>S8P</t>
  </si>
  <si>
    <t>HP Power</t>
  </si>
  <si>
    <t>HPList</t>
  </si>
  <si>
    <t>SP Power</t>
  </si>
  <si>
    <t>SPList</t>
  </si>
  <si>
    <t>Pdiss On chip (mW)</t>
  </si>
  <si>
    <t>Power Source</t>
  </si>
  <si>
    <t>Li-Ion Battery</t>
  </si>
  <si>
    <t>VDDD Power</t>
  </si>
  <si>
    <t>Internal</t>
  </si>
  <si>
    <t>External</t>
  </si>
  <si>
    <t>VDDA Power</t>
  </si>
  <si>
    <t>VDDM Power</t>
  </si>
  <si>
    <t>Li-Ion Battery Power</t>
  </si>
  <si>
    <t>Doesn't match datasheet</t>
  </si>
  <si>
    <t>Drystones/s</t>
  </si>
  <si>
    <t>11</t>
  </si>
  <si>
    <t>Vbat</t>
  </si>
  <si>
    <t>PDDD</t>
  </si>
  <si>
    <t>PDDM</t>
  </si>
  <si>
    <t>PDDR1</t>
  </si>
  <si>
    <t>CPUCLK</t>
  </si>
  <si>
    <t>HCLK</t>
  </si>
  <si>
    <t>EMICLK</t>
  </si>
  <si>
    <t>MENU</t>
  </si>
  <si>
    <t>64.00</t>
  </si>
  <si>
    <t>48.00</t>
  </si>
  <si>
    <t>261.82</t>
  </si>
  <si>
    <t>130.91</t>
  </si>
  <si>
    <t>360.00</t>
  </si>
  <si>
    <t>120.00</t>
  </si>
  <si>
    <t>392.73</t>
  </si>
  <si>
    <t>454.74</t>
  </si>
  <si>
    <t>151.58</t>
  </si>
  <si>
    <t>CPU CLK / AHB CLK / EMI CLK Frequencies</t>
  </si>
  <si>
    <t>MHz</t>
  </si>
  <si>
    <t>33.744</t>
  </si>
  <si>
    <t>PDDA</t>
  </si>
  <si>
    <t>POWER BY RAIL SUMMARY</t>
  </si>
  <si>
    <t>TOTAL POWER SUMMARY</t>
  </si>
  <si>
    <t>CONFIGURATION</t>
  </si>
  <si>
    <t>EXCLUDE</t>
  </si>
  <si>
    <t>INCLUDE</t>
  </si>
  <si>
    <t>ARM CORE &amp; DRAM</t>
  </si>
  <si>
    <t>SD/MMC CARD</t>
  </si>
  <si>
    <t>LCD</t>
  </si>
  <si>
    <t>NAND FLASH</t>
  </si>
  <si>
    <t>RESULTS</t>
  </si>
  <si>
    <t>LEGEND</t>
  </si>
  <si>
    <t>User Configurable Cells</t>
  </si>
  <si>
    <t>Internal (On-chip) Power</t>
  </si>
  <si>
    <t>External (Off-chip) Power</t>
  </si>
  <si>
    <t xml:space="preserve">On-chip power into i.MX23 VDDA input due to headphone amp.  Includes power into headphone load. </t>
  </si>
  <si>
    <t>"Pink Noise" approximates real music.  "1kHz 0dB Sine Wave" is likely worst-case.</t>
  </si>
  <si>
    <t xml:space="preserve">On-chip power into i.MX23 VDDS input due to speaker amp.  Includes power into speaker load. </t>
  </si>
  <si>
    <t>On-chip power into i.MX23 VDDA input due to DAC.  Should be included if Headphone or Speaker are on.</t>
  </si>
  <si>
    <t>DAC</t>
  </si>
  <si>
    <t>Includes: ARM core</t>
  </si>
  <si>
    <t>Includes: headphone amp, DAC, mDDR Controller</t>
  </si>
  <si>
    <t>Includes: LCD controller, NAND flash controller, SD/MMC controller</t>
  </si>
  <si>
    <t>Includes: LCD, NAND flash, SD/MMC card</t>
  </si>
  <si>
    <t>Includes: mDDR DRAM device</t>
  </si>
  <si>
    <t>Includes: DDR1 controller</t>
  </si>
  <si>
    <t>Includes: DDR1 DRAM device</t>
  </si>
  <si>
    <t>Includes: speaker amp</t>
  </si>
  <si>
    <t>Includes: LCD backlight boost converter</t>
  </si>
  <si>
    <t>DCDC Settings</t>
  </si>
  <si>
    <t>EFFICIENCY</t>
  </si>
  <si>
    <t>Vin (V)</t>
  </si>
  <si>
    <t>Normal Fets</t>
  </si>
  <si>
    <t>Double FETs</t>
  </si>
  <si>
    <t>PDDIO (mW</t>
  </si>
  <si>
    <t>PDDA (mW)</t>
  </si>
  <si>
    <t>TOTAL POWER (mW)</t>
  </si>
  <si>
    <t>AVERAGE (4.2 - 3.4)</t>
  </si>
  <si>
    <t>Spreadsheet Value</t>
  </si>
  <si>
    <t>Approximation</t>
  </si>
  <si>
    <t>PDDIO</t>
  </si>
  <si>
    <t>PDDIO + PDDM</t>
  </si>
  <si>
    <t>INDEX</t>
  </si>
  <si>
    <t>53</t>
  </si>
  <si>
    <t>233</t>
  </si>
  <si>
    <t>MATCH</t>
  </si>
  <si>
    <t>LABEL</t>
  </si>
  <si>
    <t>On-chip battery power consumption estimate, including DCDC efficiency</t>
  </si>
  <si>
    <t>Off-chip battery power consumption estimate, including DCDC efficiency</t>
  </si>
  <si>
    <t>On-chip power consumption estimate. Doesn't account for DCDC efficiency</t>
  </si>
  <si>
    <t>Off-chip power consumption estimate. Doesn't account for DCDC efficiency</t>
  </si>
  <si>
    <t>Total power consumption estimate. Doesn't account for DCDC efficiency</t>
  </si>
  <si>
    <t>VDDM Linear Regulator Power</t>
  </si>
  <si>
    <t>TOTAL POWER CONSUMPTION ESTIMATE SUMMARY</t>
  </si>
  <si>
    <t>Battery Power Into PMU</t>
  </si>
  <si>
    <t>Power Out of PMU</t>
  </si>
  <si>
    <t>SUMMARY OF POWER BY SUPPLY RAIL</t>
  </si>
  <si>
    <t>Note that some power is Internal (on-chip) and some is External (off-chip) - consult legend to the right for color-coding.</t>
  </si>
  <si>
    <t>Power dissipated in internal VDDM linear regulator powered from VDDIO.  Mostly external.</t>
  </si>
  <si>
    <t>BATTERY (V)</t>
  </si>
  <si>
    <t>NAME</t>
  </si>
  <si>
    <t>Normal FETs</t>
  </si>
  <si>
    <r>
      <t xml:space="preserve">i.MX23 ARM Core Power </t>
    </r>
    <r>
      <rPr>
        <b/>
        <sz val="12"/>
        <color indexed="12"/>
        <rFont val="Arial"/>
        <family val="2"/>
      </rPr>
      <t>(4)</t>
    </r>
  </si>
  <si>
    <r>
      <t xml:space="preserve">i.MX23 DRAM Controller Power </t>
    </r>
    <r>
      <rPr>
        <b/>
        <sz val="12"/>
        <color indexed="12"/>
        <rFont val="Arial"/>
        <family val="2"/>
      </rPr>
      <t>(2)</t>
    </r>
  </si>
  <si>
    <r>
      <t xml:space="preserve">External DRAM Power </t>
    </r>
    <r>
      <rPr>
        <b/>
        <sz val="12"/>
        <color indexed="17"/>
        <rFont val="Arial"/>
        <family val="2"/>
      </rPr>
      <t>(9)</t>
    </r>
  </si>
  <si>
    <r>
      <t xml:space="preserve">i.MX23 Headphone Amplifier Power </t>
    </r>
    <r>
      <rPr>
        <b/>
        <sz val="12"/>
        <color indexed="12"/>
        <rFont val="Arial"/>
        <family val="2"/>
      </rPr>
      <t>(3)</t>
    </r>
  </si>
  <si>
    <r>
      <t xml:space="preserve">i.MX23 Speaker Amplifier Power </t>
    </r>
    <r>
      <rPr>
        <b/>
        <sz val="12"/>
        <color indexed="12"/>
        <rFont val="Arial"/>
        <family val="2"/>
      </rPr>
      <t>(5)</t>
    </r>
  </si>
  <si>
    <r>
      <t xml:space="preserve">i.MX23 DAC Power </t>
    </r>
    <r>
      <rPr>
        <b/>
        <sz val="12"/>
        <color indexed="12"/>
        <rFont val="Arial"/>
        <family val="2"/>
      </rPr>
      <t>(3)</t>
    </r>
  </si>
  <si>
    <r>
      <t xml:space="preserve">i.MX23 LCD Controller Power </t>
    </r>
    <r>
      <rPr>
        <b/>
        <sz val="12"/>
        <color indexed="12"/>
        <rFont val="Arial"/>
        <family val="2"/>
      </rPr>
      <t>(1)</t>
    </r>
  </si>
  <si>
    <r>
      <t xml:space="preserve">External SD/MMC Card Power </t>
    </r>
    <r>
      <rPr>
        <b/>
        <sz val="12"/>
        <color indexed="17"/>
        <rFont val="Arial"/>
        <family val="2"/>
      </rPr>
      <t>(7)</t>
    </r>
  </si>
  <si>
    <r>
      <t xml:space="preserve">External LCD Digital Power </t>
    </r>
    <r>
      <rPr>
        <b/>
        <sz val="12"/>
        <color indexed="17"/>
        <rFont val="Arial"/>
        <family val="2"/>
      </rPr>
      <t>(6)</t>
    </r>
  </si>
  <si>
    <r>
      <t xml:space="preserve">External LCD Backlight Power </t>
    </r>
    <r>
      <rPr>
        <b/>
        <sz val="12"/>
        <color indexed="17"/>
        <rFont val="Arial"/>
        <family val="2"/>
      </rPr>
      <t>(10)</t>
    </r>
  </si>
  <si>
    <r>
      <t xml:space="preserve">External NAND Flash Power </t>
    </r>
    <r>
      <rPr>
        <b/>
        <sz val="12"/>
        <color indexed="17"/>
        <rFont val="Arial"/>
        <family val="2"/>
      </rPr>
      <t>(8)</t>
    </r>
  </si>
  <si>
    <t xml:space="preserve">Enter configuration options into yellow cells.  Select "INCLUDE" or "EXCLUDE" to include/exclude each power in the summary. </t>
  </si>
  <si>
    <t>HEADPHONE AMP</t>
  </si>
  <si>
    <r>
      <t xml:space="preserve">Total </t>
    </r>
    <r>
      <rPr>
        <b/>
        <sz val="12"/>
        <color indexed="10"/>
        <rFont val="Arial"/>
        <family val="2"/>
      </rPr>
      <t>(11)</t>
    </r>
  </si>
  <si>
    <t>Total Power Out Of Battery</t>
  </si>
  <si>
    <t>Estimate of total battery power into PMU, including DCDC efficiency.  Excludes battery  power into non-PMU loads (e.g, speaker amp, LCD backlight).</t>
  </si>
  <si>
    <t>Estimate of total battery power consumption.  Includes DCDC efficiency, speaker amp, and LCD backlight.</t>
  </si>
  <si>
    <r>
      <t xml:space="preserve">Total </t>
    </r>
    <r>
      <rPr>
        <b/>
        <sz val="12"/>
        <color indexed="10"/>
        <rFont val="Arial"/>
        <family val="2"/>
      </rPr>
      <t>(12)</t>
    </r>
  </si>
  <si>
    <r>
      <t xml:space="preserve">Total </t>
    </r>
    <r>
      <rPr>
        <b/>
        <sz val="12"/>
        <color indexed="10"/>
        <rFont val="Arial"/>
        <family val="2"/>
      </rPr>
      <t>(13)</t>
    </r>
  </si>
  <si>
    <r>
      <t xml:space="preserve">Total </t>
    </r>
    <r>
      <rPr>
        <b/>
        <sz val="12"/>
        <color indexed="10"/>
        <rFont val="Arial"/>
        <family val="2"/>
      </rPr>
      <t>(15)</t>
    </r>
  </si>
  <si>
    <r>
      <t xml:space="preserve">Total </t>
    </r>
    <r>
      <rPr>
        <b/>
        <sz val="12"/>
        <color indexed="10"/>
        <rFont val="Arial"/>
        <family val="2"/>
      </rPr>
      <t>(14)</t>
    </r>
  </si>
  <si>
    <r>
      <t xml:space="preserve">Total </t>
    </r>
    <r>
      <rPr>
        <b/>
        <sz val="12"/>
        <color indexed="10"/>
        <rFont val="Arial"/>
        <family val="2"/>
      </rPr>
      <t>(16)</t>
    </r>
  </si>
  <si>
    <r>
      <t xml:space="preserve">Total </t>
    </r>
    <r>
      <rPr>
        <b/>
        <sz val="12"/>
        <color indexed="17"/>
        <rFont val="Arial"/>
        <family val="2"/>
      </rPr>
      <t xml:space="preserve">(10) </t>
    </r>
    <r>
      <rPr>
        <b/>
        <sz val="12"/>
        <rFont val="Arial"/>
        <family val="2"/>
      </rPr>
      <t>+</t>
    </r>
    <r>
      <rPr>
        <b/>
        <sz val="12"/>
        <color indexed="12"/>
        <rFont val="Arial"/>
        <family val="2"/>
      </rPr>
      <t xml:space="preserve"> (5)</t>
    </r>
  </si>
  <si>
    <r>
      <t xml:space="preserve">Total </t>
    </r>
    <r>
      <rPr>
        <b/>
        <sz val="12"/>
        <color indexed="10"/>
        <rFont val="Arial"/>
        <family val="2"/>
      </rPr>
      <t>(13)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(14)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(15)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(16)</t>
    </r>
  </si>
  <si>
    <r>
      <t xml:space="preserve">The number in parenthesis following the power (e.g., </t>
    </r>
    <r>
      <rPr>
        <b/>
        <sz val="12"/>
        <color indexed="12"/>
        <rFont val="Arial"/>
        <family val="2"/>
      </rPr>
      <t>(1)</t>
    </r>
    <r>
      <rPr>
        <sz val="12"/>
        <rFont val="Arial"/>
        <family val="0"/>
      </rPr>
      <t xml:space="preserve"> or </t>
    </r>
    <r>
      <rPr>
        <b/>
        <sz val="12"/>
        <color indexed="17"/>
        <rFont val="Arial"/>
        <family val="2"/>
      </rPr>
      <t>(8)</t>
    </r>
    <r>
      <rPr>
        <sz val="12"/>
        <rFont val="Arial"/>
        <family val="0"/>
      </rPr>
      <t>) corresponds to the system diagram (scroll to the bottom to see diagram).</t>
    </r>
  </si>
  <si>
    <t>OFF</t>
  </si>
  <si>
    <t>24.00</t>
  </si>
  <si>
    <t>Select Valid Frequency</t>
  </si>
  <si>
    <t>Off-chip power from VDDIO supply into LCD module . Enter power from LCD datasheet.</t>
  </si>
  <si>
    <t>Off-chip power from Li-Battery supply into LCD backlight.   Enter power from LCD datasheet.</t>
  </si>
  <si>
    <t>Off-chip power from VDDIO supply into SD/MMC card.  Enter power from SD/MMC card datasheet.</t>
  </si>
  <si>
    <t>Off-chip power from VDDIO supply into NAND flash.  Enter power from NAND datasheet.</t>
  </si>
  <si>
    <t>On-chip power into i.MX23 VDDIO input due to LCD controller.</t>
  </si>
  <si>
    <t>i.MX23 Power Consumption Calculator</t>
  </si>
  <si>
    <t>64.00 / 64.00 / 48.00</t>
  </si>
  <si>
    <t>On-chip power into iMX23 VDDD input with INTERRUPT WAIT and HBUS AUTOSLOW disabled.</t>
  </si>
  <si>
    <t>Disclaimer:  The power consumption calculator is intended to provide an estimation of typical system power under different CPU clock frequencies and device configurations.  The core power measurements were taken using 100% CPU load with the iMX23 power savings features disabled (i.e., INTERRUPT WAIT and HBUS AUTOSLOW).  Actual measured power results may vary based on the actual application CPU loading.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</si>
</sst>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%"/>
    <numFmt numFmtId="171" formatCode="0.0000"/>
    <numFmt numFmtId="172" formatCode="0.000%"/>
    <numFmt numFmtId="173" formatCode="0.000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164" fontId="5" fillId="0" borderId="4" xfId="21" applyNumberFormat="1" applyFont="1" applyFill="1" applyBorder="1" applyAlignment="1">
      <alignment horizontal="center"/>
      <protection/>
    </xf>
    <xf numFmtId="164" fontId="5" fillId="0" borderId="0" xfId="21" applyNumberFormat="1" applyFont="1" applyFill="1" applyBorder="1" applyAlignment="1">
      <alignment horizontal="center"/>
      <protection/>
    </xf>
    <xf numFmtId="49" fontId="0" fillId="0" borderId="0" xfId="21" applyNumberFormat="1" applyFill="1" applyBorder="1" applyAlignment="1">
      <alignment horizontal="center"/>
      <protection/>
    </xf>
    <xf numFmtId="2" fontId="0" fillId="0" borderId="0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64" fontId="5" fillId="0" borderId="5" xfId="21" applyNumberFormat="1" applyFont="1" applyFill="1" applyBorder="1" applyAlignment="1">
      <alignment horizontal="center"/>
      <protection/>
    </xf>
    <xf numFmtId="164" fontId="5" fillId="0" borderId="6" xfId="21" applyNumberFormat="1" applyFont="1" applyFill="1" applyBorder="1" applyAlignment="1">
      <alignment horizontal="center"/>
      <protection/>
    </xf>
    <xf numFmtId="49" fontId="0" fillId="0" borderId="6" xfId="21" applyNumberFormat="1" applyFont="1" applyFill="1" applyBorder="1" applyAlignment="1">
      <alignment horizontal="center"/>
      <protection/>
    </xf>
    <xf numFmtId="2" fontId="0" fillId="0" borderId="6" xfId="21" applyNumberFormat="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4" fontId="5" fillId="0" borderId="7" xfId="21" applyNumberFormat="1" applyFont="1" applyFill="1" applyBorder="1" applyAlignment="1">
      <alignment horizontal="center"/>
      <protection/>
    </xf>
    <xf numFmtId="164" fontId="5" fillId="0" borderId="8" xfId="21" applyNumberFormat="1" applyFont="1" applyFill="1" applyBorder="1" applyAlignment="1">
      <alignment horizontal="center"/>
      <protection/>
    </xf>
    <xf numFmtId="164" fontId="5" fillId="0" borderId="1" xfId="21" applyNumberFormat="1" applyFont="1" applyFill="1" applyBorder="1" applyAlignment="1">
      <alignment horizontal="center"/>
      <protection/>
    </xf>
    <xf numFmtId="164" fontId="5" fillId="0" borderId="3" xfId="21" applyNumberFormat="1" applyFont="1" applyFill="1" applyBorder="1" applyAlignment="1">
      <alignment horizontal="center"/>
      <protection/>
    </xf>
    <xf numFmtId="164" fontId="5" fillId="0" borderId="2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horizontal="center"/>
      <protection/>
    </xf>
    <xf numFmtId="2" fontId="0" fillId="0" borderId="3" xfId="21" applyNumberForma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7" xfId="21" applyFont="1" applyFill="1" applyBorder="1" applyAlignment="1">
      <alignment horizontal="left"/>
      <protection/>
    </xf>
    <xf numFmtId="0" fontId="5" fillId="0" borderId="8" xfId="2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5" borderId="15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2" fontId="0" fillId="4" borderId="0" xfId="21" applyNumberFormat="1" applyFill="1" applyBorder="1" applyAlignment="1">
      <alignment horizontal="center"/>
      <protection/>
    </xf>
    <xf numFmtId="0" fontId="0" fillId="4" borderId="0" xfId="21" applyFill="1" applyBorder="1" applyAlignment="1">
      <alignment horizontal="center"/>
      <protection/>
    </xf>
    <xf numFmtId="2" fontId="0" fillId="4" borderId="6" xfId="21" applyNumberFormat="1" applyFont="1" applyFill="1" applyBorder="1" applyAlignment="1">
      <alignment horizontal="center"/>
      <protection/>
    </xf>
    <xf numFmtId="0" fontId="0" fillId="4" borderId="6" xfId="21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3" fillId="3" borderId="0" xfId="21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8" fillId="6" borderId="25" xfId="0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7" borderId="25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2" fontId="8" fillId="0" borderId="2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8" fillId="5" borderId="26" xfId="0" applyFont="1" applyFill="1" applyBorder="1" applyAlignment="1">
      <alignment horizontal="left" vertical="top" wrapText="1"/>
    </xf>
    <xf numFmtId="0" fontId="8" fillId="6" borderId="26" xfId="0" applyFont="1" applyFill="1" applyBorder="1" applyAlignment="1">
      <alignment horizontal="left" vertical="top" wrapText="1"/>
    </xf>
    <xf numFmtId="0" fontId="8" fillId="7" borderId="27" xfId="0" applyFont="1" applyFill="1" applyBorder="1" applyAlignment="1">
      <alignment horizontal="left" vertical="top" wrapText="1"/>
    </xf>
    <xf numFmtId="10" fontId="0" fillId="0" borderId="0" xfId="0" applyNumberFormat="1" applyAlignment="1">
      <alignment horizontal="center"/>
    </xf>
    <xf numFmtId="164" fontId="8" fillId="0" borderId="25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right"/>
    </xf>
    <xf numFmtId="164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8" fillId="5" borderId="25" xfId="0" applyFont="1" applyFill="1" applyBorder="1" applyAlignment="1" applyProtection="1">
      <alignment horizontal="right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2" fontId="8" fillId="0" borderId="25" xfId="0" applyNumberFormat="1" applyFont="1" applyFill="1" applyBorder="1" applyAlignment="1" applyProtection="1">
      <alignment horizontal="right"/>
      <protection/>
    </xf>
    <xf numFmtId="0" fontId="8" fillId="0" borderId="25" xfId="0" applyFont="1" applyFill="1" applyBorder="1" applyAlignment="1">
      <alignment/>
    </xf>
    <xf numFmtId="164" fontId="8" fillId="0" borderId="25" xfId="0" applyNumberFormat="1" applyFont="1" applyFill="1" applyBorder="1" applyAlignment="1" applyProtection="1">
      <alignment horizontal="right"/>
      <protection/>
    </xf>
    <xf numFmtId="0" fontId="8" fillId="5" borderId="28" xfId="0" applyFont="1" applyFill="1" applyBorder="1" applyAlignment="1" applyProtection="1">
      <alignment horizontal="center"/>
      <protection locked="0"/>
    </xf>
    <xf numFmtId="0" fontId="8" fillId="7" borderId="28" xfId="0" applyFont="1" applyFill="1" applyBorder="1" applyAlignment="1">
      <alignment horizontal="right"/>
    </xf>
    <xf numFmtId="2" fontId="8" fillId="0" borderId="28" xfId="0" applyNumberFormat="1" applyFont="1" applyFill="1" applyBorder="1" applyAlignment="1" applyProtection="1">
      <alignment horizontal="right"/>
      <protection/>
    </xf>
    <xf numFmtId="0" fontId="8" fillId="0" borderId="28" xfId="0" applyFont="1" applyFill="1" applyBorder="1" applyAlignment="1">
      <alignment/>
    </xf>
    <xf numFmtId="164" fontId="8" fillId="5" borderId="25" xfId="0" applyNumberFormat="1" applyFont="1" applyFill="1" applyBorder="1" applyAlignment="1" applyProtection="1">
      <alignment horizontal="right"/>
      <protection locked="0"/>
    </xf>
    <xf numFmtId="2" fontId="8" fillId="0" borderId="28" xfId="0" applyNumberFormat="1" applyFont="1" applyFill="1" applyBorder="1" applyAlignment="1">
      <alignment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7" borderId="30" xfId="0" applyFont="1" applyFill="1" applyBorder="1" applyAlignment="1">
      <alignment horizontal="right"/>
    </xf>
    <xf numFmtId="2" fontId="8" fillId="5" borderId="30" xfId="0" applyNumberFormat="1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>
      <alignment/>
    </xf>
    <xf numFmtId="2" fontId="8" fillId="5" borderId="25" xfId="0" applyNumberFormat="1" applyFont="1" applyFill="1" applyBorder="1" applyAlignment="1" applyProtection="1">
      <alignment horizontal="right"/>
      <protection locked="0"/>
    </xf>
    <xf numFmtId="2" fontId="8" fillId="5" borderId="28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 locked="0"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2" borderId="0" xfId="0" applyFont="1" applyFill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29" xfId="0" applyFont="1" applyFill="1" applyBorder="1" applyAlignment="1">
      <alignment horizontal="left"/>
    </xf>
    <xf numFmtId="0" fontId="8" fillId="3" borderId="29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3" borderId="3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4" fillId="2" borderId="3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5" xfId="0" applyFont="1" applyBorder="1" applyAlignment="1">
      <alignment horizontal="right" wrapText="1"/>
    </xf>
    <xf numFmtId="0" fontId="4" fillId="3" borderId="4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64" fontId="4" fillId="0" borderId="50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780_iMX233_recommended_operating_states_03-17-09" xfId="21"/>
    <cellStyle name="Percent" xfId="22"/>
  </cellStyles>
  <dxfs count="2">
    <dxf>
      <font>
        <b/>
        <i val="0"/>
        <color rgb="FFFF0000"/>
      </font>
      <border/>
    </dxf>
    <dxf>
      <fill>
        <patternFill patternType="dark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(VDDD=1.05V,Low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675"/>
          <c:w val="0.899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Efficiency'!$M$4</c:f>
              <c:strCache>
                <c:ptCount val="1"/>
                <c:pt idx="0">
                  <c:v>PDDD=52.5mW,PDDIO=156mW,PDDA=88mW,DCDC Mode=Normal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Efficiency'!$F$4:$K$4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Efficiency'!$M$5</c:f>
              <c:strCache>
                <c:ptCount val="1"/>
                <c:pt idx="0">
                  <c:v>PDDD=52.5mW,PDDIO=670.8mW,PDDA=359.04mW,DCDC Mode=Normal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Efficiency'!$F$5:$K$5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Efficiency'!$M$6</c:f>
              <c:strCache>
                <c:ptCount val="1"/>
                <c:pt idx="0">
                  <c:v>PDDD=52.5mW,PDDIO=670.8mW,PDDA=88mW,DCDC Mode=Normal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Efficiency'!$F$6:$K$6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Efficiency'!$M$7</c:f>
              <c:strCache>
                <c:ptCount val="1"/>
                <c:pt idx="0">
                  <c:v>PDDD=52.5mW,PDDIO=156mW,PDDA=369.6mW,DCDC Mode=Normal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Efficiency'!$F$7:$K$7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567313"/>
        <c:axId val="25151526"/>
      </c:lineChart>
      <c:catAx>
        <c:axId val="23567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151526"/>
        <c:crosses val="autoZero"/>
        <c:auto val="1"/>
        <c:lblOffset val="100"/>
        <c:tickLblSkip val="1"/>
        <c:noMultiLvlLbl val="0"/>
      </c:catAx>
      <c:valAx>
        <c:axId val="2515152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67313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6825"/>
          <c:w val="0.60925"/>
          <c:h val="0.15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(VDDD=1.28V,Medium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575"/>
          <c:w val="0.908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Efficiency'!$M$8</c:f>
              <c:strCache>
                <c:ptCount val="1"/>
                <c:pt idx="0">
                  <c:v>PDDD=128mW,PDDIO=156mW,PDDA=88mW,DCDC Mode=Normal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Efficiency'!$F$8:$K$8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Efficiency'!$M$9</c:f>
              <c:strCache>
                <c:ptCount val="1"/>
                <c:pt idx="0">
                  <c:v>PDDD=128mW,PDDIO=624mW,PDDA=343.2mW,DCDC Mode=Normal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Efficiency'!$F$9:$K$9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Efficiency'!$M$10</c:f>
              <c:strCache>
                <c:ptCount val="1"/>
                <c:pt idx="0">
                  <c:v>PDDD=128mW,PDDIO=624mW,PDDA=88mW,DCDC Mode=Normal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Efficiency'!$F$10:$K$10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Efficiency'!$M$11</c:f>
              <c:strCache>
                <c:ptCount val="1"/>
                <c:pt idx="0">
                  <c:v>PDDD=128mW,PDDIO=156mW,PDDA=343.2mW,DCDC Mode=Normal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8419999"/>
        <c:axId val="18860428"/>
      </c:lineChart>
      <c:catAx>
        <c:axId val="584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860428"/>
        <c:crosses val="autoZero"/>
        <c:auto val="1"/>
        <c:lblOffset val="100"/>
        <c:tickLblSkip val="1"/>
        <c:noMultiLvlLbl val="0"/>
      </c:catAx>
      <c:valAx>
        <c:axId val="1886042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19999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7065"/>
          <c:w val="0.59875"/>
          <c:h val="0.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(VDDD=1.55V,High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7"/>
          <c:w val="0.906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Efficiency'!$M$12</c:f>
              <c:strCache>
                <c:ptCount val="1"/>
                <c:pt idx="0">
                  <c:v>PDDD=232.5mW,PDDIO=156mW,PDDA=88mW,DCDC Mode=Double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Efficiency'!$F$12:$K$12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Efficiency'!$M$13</c:f>
              <c:strCache>
                <c:ptCount val="1"/>
                <c:pt idx="0">
                  <c:v>PDDD=232.5mW,PDDIO=617.76mW,PDDA=360.8mW,DCDC Mode=Double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Efficiency'!$M$14</c:f>
              <c:strCache>
                <c:ptCount val="1"/>
                <c:pt idx="0">
                  <c:v>PDDD=232.5mW,PDDIO=617.76mW,PDDA=88mW,DCDC Mode=Double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Efficiency'!$M$15</c:f>
              <c:strCache>
                <c:ptCount val="1"/>
                <c:pt idx="0">
                  <c:v>PDDD=232.5mW,PDDIO=156mW,PDDA=360.8mW,DCDC Mode=Double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Efficiency'!$F$15:$K$15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524669"/>
        <c:axId val="63058498"/>
      </c:lineChart>
      <c:catAx>
        <c:axId val="60524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058498"/>
        <c:crosses val="autoZero"/>
        <c:auto val="1"/>
        <c:lblOffset val="100"/>
        <c:tickLblSkip val="1"/>
        <c:noMultiLvlLbl val="0"/>
      </c:catAx>
      <c:valAx>
        <c:axId val="6305849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24669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025"/>
          <c:y val="0.6965"/>
          <c:w val="0.61125"/>
          <c:h val="0.1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73</xdr:row>
      <xdr:rowOff>104775</xdr:rowOff>
    </xdr:from>
    <xdr:to>
      <xdr:col>9</xdr:col>
      <xdr:colOff>1590675</xdr:colOff>
      <xdr:row>130</xdr:row>
      <xdr:rowOff>19050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154275"/>
          <a:ext cx="1145857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28575</xdr:rowOff>
    </xdr:from>
    <xdr:to>
      <xdr:col>3</xdr:col>
      <xdr:colOff>647700</xdr:colOff>
      <xdr:row>3</xdr:row>
      <xdr:rowOff>95250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8575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0.2805</cdr:x>
      <cdr:y>0.06575</cdr:y>
    </cdr:from>
    <cdr:to>
      <cdr:x>0.742</cdr:x>
      <cdr:y>0.11125</cdr:y>
    </cdr:to>
    <cdr:sp>
      <cdr:nvSpPr>
        <cdr:cNvPr id="1" name="TextBox 2"/>
        <cdr:cNvSpPr txBox="1">
          <a:spLocks noChangeArrowheads="1"/>
        </cdr:cNvSpPr>
      </cdr:nvSpPr>
      <cdr:spPr>
        <a:xfrm>
          <a:off x="2352675" y="342900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0.07075</cdr:y>
    </cdr:from>
    <cdr:to>
      <cdr:x>0.72525</cdr:x>
      <cdr:y>0.116</cdr:y>
    </cdr:to>
    <cdr:sp>
      <cdr:nvSpPr>
        <cdr:cNvPr id="1" name="TextBox 4"/>
        <cdr:cNvSpPr txBox="1">
          <a:spLocks noChangeArrowheads="1"/>
        </cdr:cNvSpPr>
      </cdr:nvSpPr>
      <cdr:spPr>
        <a:xfrm>
          <a:off x="2219325" y="371475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0.0805</cdr:y>
    </cdr:from>
    <cdr:to>
      <cdr:x>0.75175</cdr:x>
      <cdr:y>0.12625</cdr:y>
    </cdr:to>
    <cdr:sp>
      <cdr:nvSpPr>
        <cdr:cNvPr id="1" name="TextBox 2"/>
        <cdr:cNvSpPr txBox="1">
          <a:spLocks noChangeArrowheads="1"/>
        </cdr:cNvSpPr>
      </cdr:nvSpPr>
      <cdr:spPr>
        <a:xfrm>
          <a:off x="2419350" y="419100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9525</xdr:rowOff>
    </xdr:from>
    <xdr:to>
      <xdr:col>12</xdr:col>
      <xdr:colOff>895350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285750" y="3095625"/>
        <a:ext cx="84201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50</xdr:row>
      <xdr:rowOff>104775</xdr:rowOff>
    </xdr:from>
    <xdr:to>
      <xdr:col>12</xdr:col>
      <xdr:colOff>914400</xdr:colOff>
      <xdr:row>83</xdr:row>
      <xdr:rowOff>104775</xdr:rowOff>
    </xdr:to>
    <xdr:graphicFrame>
      <xdr:nvGraphicFramePr>
        <xdr:cNvPr id="2" name="Chart 2"/>
        <xdr:cNvGraphicFramePr/>
      </xdr:nvGraphicFramePr>
      <xdr:xfrm>
        <a:off x="304800" y="8534400"/>
        <a:ext cx="84201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85</xdr:row>
      <xdr:rowOff>57150</xdr:rowOff>
    </xdr:from>
    <xdr:to>
      <xdr:col>12</xdr:col>
      <xdr:colOff>923925</xdr:colOff>
      <xdr:row>118</xdr:row>
      <xdr:rowOff>9525</xdr:rowOff>
    </xdr:to>
    <xdr:graphicFrame>
      <xdr:nvGraphicFramePr>
        <xdr:cNvPr id="3" name="Chart 3"/>
        <xdr:cNvGraphicFramePr/>
      </xdr:nvGraphicFramePr>
      <xdr:xfrm>
        <a:off x="342900" y="14154150"/>
        <a:ext cx="8391525" cy="529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173"/>
  <sheetViews>
    <sheetView tabSelected="1" zoomScale="95" zoomScaleNormal="95" workbookViewId="0" topLeftCell="A1">
      <selection activeCell="F13" sqref="F13"/>
    </sheetView>
  </sheetViews>
  <sheetFormatPr defaultColWidth="9.140625" defaultRowHeight="12.75"/>
  <cols>
    <col min="1" max="1" width="1.7109375" style="1" customWidth="1"/>
    <col min="2" max="2" width="1.57421875" style="3" customWidth="1"/>
    <col min="3" max="3" width="19.28125" style="1" customWidth="1"/>
    <col min="4" max="4" width="14.140625" style="0" customWidth="1"/>
    <col min="5" max="5" width="41.28125" style="0" bestFit="1" customWidth="1"/>
    <col min="6" max="6" width="28.7109375" style="0" customWidth="1"/>
    <col min="7" max="7" width="8.28125" style="0" bestFit="1" customWidth="1"/>
    <col min="8" max="8" width="42.00390625" style="0" customWidth="1"/>
    <col min="9" max="9" width="17.57421875" style="0" customWidth="1"/>
    <col min="10" max="10" width="55.421875" style="0" customWidth="1"/>
    <col min="11" max="11" width="9.28125" style="0" customWidth="1"/>
    <col min="44" max="44" width="16.00390625" style="0" customWidth="1"/>
    <col min="49" max="49" width="10.57421875" style="0" customWidth="1"/>
    <col min="51" max="51" width="20.421875" style="0" customWidth="1"/>
    <col min="59" max="59" width="12.8515625" style="0" customWidth="1"/>
  </cols>
  <sheetData>
    <row r="1" spans="4:42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4:42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49" customFormat="1" ht="35.25">
      <c r="A3" s="148"/>
      <c r="B3" s="148"/>
      <c r="D3" s="148"/>
      <c r="E3" s="150" t="s">
        <v>240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149" customFormat="1" ht="30">
      <c r="A4" s="148"/>
      <c r="B4" s="148"/>
      <c r="C4" s="152" t="s">
        <v>243</v>
      </c>
      <c r="D4" s="153"/>
      <c r="E4" s="153"/>
      <c r="F4" s="153"/>
      <c r="G4" s="153"/>
      <c r="H4" s="153"/>
      <c r="I4" s="153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:42" s="149" customFormat="1" ht="30">
      <c r="A5" s="148"/>
      <c r="B5" s="148"/>
      <c r="C5" s="153"/>
      <c r="D5" s="153"/>
      <c r="E5" s="153"/>
      <c r="F5" s="153"/>
      <c r="G5" s="153"/>
      <c r="H5" s="153"/>
      <c r="I5" s="153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</row>
    <row r="6" spans="4:43" ht="13.5" thickBot="1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3:43" ht="12.75">
      <c r="C7" s="164" t="s">
        <v>18</v>
      </c>
      <c r="D7" s="165"/>
      <c r="E7" s="165"/>
      <c r="F7" s="165"/>
      <c r="G7" s="165"/>
      <c r="H7" s="165"/>
      <c r="I7" s="165"/>
      <c r="J7" s="1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3:43" ht="13.5" thickBot="1">
      <c r="C8" s="167"/>
      <c r="D8" s="168"/>
      <c r="E8" s="168"/>
      <c r="F8" s="168"/>
      <c r="G8" s="168"/>
      <c r="H8" s="168"/>
      <c r="I8" s="168"/>
      <c r="J8" s="16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3:43" ht="15">
      <c r="C9" s="212" t="s">
        <v>218</v>
      </c>
      <c r="D9" s="213"/>
      <c r="E9" s="213"/>
      <c r="F9" s="213"/>
      <c r="G9" s="213"/>
      <c r="H9" s="214"/>
      <c r="I9" s="209" t="s">
        <v>156</v>
      </c>
      <c r="J9" s="120" t="s">
        <v>157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3:43" ht="15">
      <c r="C10" s="218" t="s">
        <v>202</v>
      </c>
      <c r="D10" s="219"/>
      <c r="E10" s="219"/>
      <c r="F10" s="219"/>
      <c r="G10" s="219"/>
      <c r="H10" s="220"/>
      <c r="I10" s="210"/>
      <c r="J10" s="121" t="s">
        <v>158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3:43" ht="16.5" thickBot="1">
      <c r="C11" s="215" t="s">
        <v>231</v>
      </c>
      <c r="D11" s="216"/>
      <c r="E11" s="216"/>
      <c r="F11" s="216"/>
      <c r="G11" s="216"/>
      <c r="H11" s="217"/>
      <c r="I11" s="211"/>
      <c r="J11" s="122" t="s">
        <v>159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15.75">
      <c r="B12" s="101"/>
      <c r="C12" s="171" t="s">
        <v>151</v>
      </c>
      <c r="D12" s="154" t="s">
        <v>148</v>
      </c>
      <c r="E12" s="155"/>
      <c r="F12" s="128" t="s">
        <v>5</v>
      </c>
      <c r="G12" s="129" t="s">
        <v>6</v>
      </c>
      <c r="H12" s="154" t="s">
        <v>7</v>
      </c>
      <c r="I12" s="160"/>
      <c r="J12" s="16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57" ht="15.75">
      <c r="B13" s="84"/>
      <c r="C13" s="172"/>
      <c r="D13" s="183" t="s">
        <v>19</v>
      </c>
      <c r="E13" s="157"/>
      <c r="F13" s="130" t="s">
        <v>102</v>
      </c>
      <c r="G13" s="112"/>
      <c r="H13" s="158" t="s">
        <v>36</v>
      </c>
      <c r="I13" s="158"/>
      <c r="J13" s="15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t="s">
        <v>0</v>
      </c>
      <c r="AS13" t="s">
        <v>12</v>
      </c>
      <c r="AV13" t="s">
        <v>114</v>
      </c>
      <c r="AW13" t="s">
        <v>2</v>
      </c>
      <c r="AX13" t="s">
        <v>17</v>
      </c>
      <c r="BB13" t="s">
        <v>13</v>
      </c>
      <c r="BC13" t="s">
        <v>16</v>
      </c>
      <c r="BE13" t="s">
        <v>20</v>
      </c>
    </row>
    <row r="14" spans="2:57" ht="15.75" customHeight="1">
      <c r="B14" s="84"/>
      <c r="C14" s="172"/>
      <c r="D14" s="156" t="s">
        <v>142</v>
      </c>
      <c r="E14" s="157"/>
      <c r="F14" s="130" t="s">
        <v>241</v>
      </c>
      <c r="G14" s="112" t="s">
        <v>143</v>
      </c>
      <c r="H14" s="158" t="s">
        <v>36</v>
      </c>
      <c r="I14" s="158"/>
      <c r="J14" s="15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t="s">
        <v>10</v>
      </c>
      <c r="AS14">
        <v>42</v>
      </c>
      <c r="AU14" t="s">
        <v>149</v>
      </c>
      <c r="AV14" t="s">
        <v>1</v>
      </c>
      <c r="AW14">
        <v>4</v>
      </c>
      <c r="AX14">
        <v>0</v>
      </c>
      <c r="AY14" t="s">
        <v>37</v>
      </c>
      <c r="BB14" t="s">
        <v>14</v>
      </c>
      <c r="BC14">
        <v>105</v>
      </c>
      <c r="BE14" t="s">
        <v>102</v>
      </c>
    </row>
    <row r="15" spans="2:57" ht="15.75" customHeight="1">
      <c r="B15" s="84"/>
      <c r="C15" s="172"/>
      <c r="D15" s="131" t="s">
        <v>150</v>
      </c>
      <c r="E15" s="110" t="s">
        <v>207</v>
      </c>
      <c r="F15" s="132">
        <f>IF($D$15="INCLUDE",IF($F$13="DDR1",IF(ISNA($BA$17),"Select Valid Frequency",$BA$17),IF(ISNA($AS$17),"Select Valid Frequency",$AS$17)),0)</f>
        <v>34.7516</v>
      </c>
      <c r="G15" s="133" t="s">
        <v>99</v>
      </c>
      <c r="H15" s="195" t="s">
        <v>242</v>
      </c>
      <c r="I15" s="195"/>
      <c r="J15" s="19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t="s">
        <v>11</v>
      </c>
      <c r="AS15">
        <v>43</v>
      </c>
      <c r="AU15" t="s">
        <v>150</v>
      </c>
      <c r="AV15" t="s">
        <v>115</v>
      </c>
      <c r="AW15">
        <v>8</v>
      </c>
      <c r="AX15">
        <v>1</v>
      </c>
      <c r="AY15" t="s">
        <v>38</v>
      </c>
      <c r="BB15" t="s">
        <v>15</v>
      </c>
      <c r="BC15">
        <v>85</v>
      </c>
      <c r="BE15" t="s">
        <v>22</v>
      </c>
    </row>
    <row r="16" spans="2:50" ht="15.75" customHeight="1">
      <c r="B16" s="84"/>
      <c r="C16" s="172"/>
      <c r="D16" s="131" t="s">
        <v>150</v>
      </c>
      <c r="E16" s="110" t="s">
        <v>208</v>
      </c>
      <c r="F16" s="134">
        <f>IF($D$16="INCLUDE",IF($F$13="DDR1",IF(ISNA($BB$17),"Select Valid Frequency",$BB$17),IF(ISNA($AT$17),"Select Valid Frequency",$AT$17)),0)</f>
        <v>9.9255</v>
      </c>
      <c r="G16" s="133" t="s">
        <v>99</v>
      </c>
      <c r="H16" s="195" t="str">
        <f>IF($F$13="DDR1","On-chip power into iMX23 DDR1 Controller VDDIO_EMI input","On-chip power into iMX23 mDDR Controller VDDIO_EMI input")</f>
        <v>On-chip power into iMX23 DDR1 Controller VDDIO_EMI input</v>
      </c>
      <c r="I16" s="195"/>
      <c r="J16" s="19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X16">
        <v>0.8</v>
      </c>
    </row>
    <row r="17" spans="2:55" ht="15.75" customHeight="1" thickBot="1">
      <c r="B17" s="84"/>
      <c r="C17" s="173"/>
      <c r="D17" s="135" t="s">
        <v>149</v>
      </c>
      <c r="E17" s="136" t="s">
        <v>209</v>
      </c>
      <c r="F17" s="137">
        <f>IF($D$17="INCLUDE",IF($F$13="DDR1",IF(ISNA($BC$17),"Select Valid Frequency",$BC$17),IF(ISNA($AU$17),"Select Valid Frequency",$AU$17)),0)</f>
        <v>0</v>
      </c>
      <c r="G17" s="138" t="s">
        <v>99</v>
      </c>
      <c r="H17" s="225" t="str">
        <f>IF($F$13="DDR1","Off-chip power from VDDM supply into DDR1 DRAM","Off-chip power from VDDA supply into mDDR DRAM")</f>
        <v>Off-chip power from VDDM supply into DDR1 DRAM</v>
      </c>
      <c r="I17" s="225"/>
      <c r="J17" s="2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t="str">
        <f>IF($F$13="DDR1","DDRLIST","mDDRLIST2")</f>
        <v>DDRLIST</v>
      </c>
      <c r="AS17" s="86">
        <f>INDEX(AS$19:$AY$24,MATCH($F$14,AY$19:AY$24,FALSE),1)</f>
        <v>34.431799999999996</v>
      </c>
      <c r="AT17" s="86">
        <f>INDEX(AS$19:$AY$24,MATCH($F$14,AY$19:AY$24,FALSE),2)</f>
        <v>4.893479999999999</v>
      </c>
      <c r="AU17" s="86">
        <f>INDEX(AS$19:$AY$24,MATCH($F$14,AY$19:AY$24,FALSE),3)</f>
        <v>21.0987</v>
      </c>
      <c r="BA17">
        <f>INDEX($BA$19:BG$23,MATCH($F$14,BG$19:BG$23,FALSE),1)</f>
        <v>34.7516</v>
      </c>
      <c r="BB17">
        <f>INDEX($BA$19:BG$23,MATCH($F$14,BG$19:BG$23,FALSE),2)</f>
        <v>9.9255</v>
      </c>
      <c r="BC17">
        <f>INDEX($BA$19:BG$23,MATCH($F$14,BG$19:BG$23,FALSE),3)</f>
        <v>77.6225</v>
      </c>
    </row>
    <row r="18" spans="2:59" ht="16.5" customHeight="1">
      <c r="B18" s="84"/>
      <c r="C18" s="197" t="s">
        <v>219</v>
      </c>
      <c r="D18" s="160" t="s">
        <v>148</v>
      </c>
      <c r="E18" s="176"/>
      <c r="F18" s="108" t="s">
        <v>5</v>
      </c>
      <c r="G18" s="109" t="s">
        <v>6</v>
      </c>
      <c r="H18" s="160" t="s">
        <v>7</v>
      </c>
      <c r="I18" s="160"/>
      <c r="J18" s="16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5" t="s">
        <v>22</v>
      </c>
      <c r="AS18" s="87" t="s">
        <v>126</v>
      </c>
      <c r="AT18" s="88" t="s">
        <v>145</v>
      </c>
      <c r="AU18" s="88" t="s">
        <v>128</v>
      </c>
      <c r="AV18" s="88" t="s">
        <v>129</v>
      </c>
      <c r="AW18" s="88" t="s">
        <v>130</v>
      </c>
      <c r="AX18" s="88" t="s">
        <v>131</v>
      </c>
      <c r="AY18" s="89" t="s">
        <v>132</v>
      </c>
      <c r="AZ18" s="35" t="s">
        <v>102</v>
      </c>
      <c r="BA18" s="87" t="s">
        <v>126</v>
      </c>
      <c r="BB18" s="88" t="s">
        <v>127</v>
      </c>
      <c r="BC18" s="88" t="s">
        <v>128</v>
      </c>
      <c r="BD18" s="88" t="s">
        <v>129</v>
      </c>
      <c r="BE18" s="88" t="s">
        <v>130</v>
      </c>
      <c r="BF18" s="88" t="s">
        <v>131</v>
      </c>
      <c r="BG18" s="89" t="s">
        <v>132</v>
      </c>
    </row>
    <row r="19" spans="2:59" ht="15.75" customHeight="1">
      <c r="B19" s="84"/>
      <c r="C19" s="223"/>
      <c r="D19" s="156" t="s">
        <v>74</v>
      </c>
      <c r="E19" s="157"/>
      <c r="F19" s="130">
        <v>32</v>
      </c>
      <c r="G19" s="112" t="s">
        <v>98</v>
      </c>
      <c r="H19" s="158" t="s">
        <v>36</v>
      </c>
      <c r="I19" s="158"/>
      <c r="J19" s="15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S19" s="90">
        <v>16.097</v>
      </c>
      <c r="AT19" s="91">
        <v>0.887</v>
      </c>
      <c r="AU19" s="91">
        <v>5.319</v>
      </c>
      <c r="AV19" s="92" t="s">
        <v>233</v>
      </c>
      <c r="AW19" s="92" t="s">
        <v>233</v>
      </c>
      <c r="AX19" s="92" t="s">
        <v>233</v>
      </c>
      <c r="AY19" s="57" t="str">
        <f aca="true" t="shared" si="0" ref="AY19:AY24">AV19&amp;" / "&amp;AW19&amp;" / "&amp;AX19</f>
        <v>24.00 / 24.00 / 24.00</v>
      </c>
      <c r="BA19" s="90">
        <v>34.7516</v>
      </c>
      <c r="BB19" s="91">
        <v>9.9255</v>
      </c>
      <c r="BC19" s="91">
        <v>77.6225</v>
      </c>
      <c r="BD19" s="92" t="s">
        <v>133</v>
      </c>
      <c r="BE19" s="92" t="s">
        <v>133</v>
      </c>
      <c r="BF19" s="92" t="s">
        <v>134</v>
      </c>
      <c r="BG19" s="99" t="str">
        <f>BD19&amp;" / "&amp;BE19&amp;" / "&amp;BF19</f>
        <v>64.00 / 64.00 / 48.00</v>
      </c>
    </row>
    <row r="20" spans="2:59" ht="15.75">
      <c r="B20" s="84"/>
      <c r="C20" s="223"/>
      <c r="D20" s="156" t="s">
        <v>72</v>
      </c>
      <c r="E20" s="157"/>
      <c r="F20" s="130" t="s">
        <v>81</v>
      </c>
      <c r="G20" s="112" t="s">
        <v>36</v>
      </c>
      <c r="H20" s="158" t="s">
        <v>36</v>
      </c>
      <c r="I20" s="158"/>
      <c r="J20" s="15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S20" s="90">
        <v>34.431799999999996</v>
      </c>
      <c r="AT20" s="91">
        <v>4.893479999999999</v>
      </c>
      <c r="AU20" s="91">
        <v>21.0987</v>
      </c>
      <c r="AV20" s="92" t="s">
        <v>133</v>
      </c>
      <c r="AW20" s="92" t="s">
        <v>133</v>
      </c>
      <c r="AX20" s="92" t="s">
        <v>134</v>
      </c>
      <c r="AY20" s="93" t="str">
        <f t="shared" si="0"/>
        <v>64.00 / 64.00 / 48.00</v>
      </c>
      <c r="BA20" s="90">
        <v>125.2592</v>
      </c>
      <c r="BB20" s="91">
        <v>18.833000000000002</v>
      </c>
      <c r="BC20" s="91">
        <v>75.841</v>
      </c>
      <c r="BD20" s="92" t="s">
        <v>135</v>
      </c>
      <c r="BE20" s="92" t="s">
        <v>136</v>
      </c>
      <c r="BF20" s="92" t="s">
        <v>136</v>
      </c>
      <c r="BG20" s="99" t="str">
        <f>BD20&amp;" / "&amp;BE20&amp;" / "&amp;BF20</f>
        <v>261.82 / 130.91 / 130.91</v>
      </c>
    </row>
    <row r="21" spans="3:59" ht="15">
      <c r="C21" s="223"/>
      <c r="D21" s="183" t="s">
        <v>73</v>
      </c>
      <c r="E21" s="157"/>
      <c r="F21" s="130" t="s">
        <v>37</v>
      </c>
      <c r="G21" s="112" t="s">
        <v>36</v>
      </c>
      <c r="H21" s="158" t="s">
        <v>161</v>
      </c>
      <c r="I21" s="158"/>
      <c r="J21" s="15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S21" s="90">
        <v>124.579</v>
      </c>
      <c r="AT21" s="91">
        <v>9.579600000000001</v>
      </c>
      <c r="AU21" s="91">
        <v>28.029200000000003</v>
      </c>
      <c r="AV21" s="92" t="s">
        <v>135</v>
      </c>
      <c r="AW21" s="92" t="s">
        <v>136</v>
      </c>
      <c r="AX21" s="92" t="s">
        <v>136</v>
      </c>
      <c r="AY21" s="93" t="str">
        <f t="shared" si="0"/>
        <v>261.82 / 130.91 / 130.91</v>
      </c>
      <c r="BA21" s="90">
        <v>169.7172</v>
      </c>
      <c r="BB21" s="91">
        <v>20.145</v>
      </c>
      <c r="BC21" s="91">
        <v>82.875</v>
      </c>
      <c r="BD21" s="92" t="s">
        <v>137</v>
      </c>
      <c r="BE21" s="92" t="s">
        <v>138</v>
      </c>
      <c r="BF21" s="92" t="s">
        <v>138</v>
      </c>
      <c r="BG21" s="99" t="str">
        <f>BD21&amp;" / "&amp;BE21&amp;" / "&amp;BF21</f>
        <v>360.00 / 120.00 / 120.00</v>
      </c>
    </row>
    <row r="22" spans="3:59" ht="15">
      <c r="C22" s="223"/>
      <c r="D22" s="183" t="s">
        <v>100</v>
      </c>
      <c r="E22" s="157"/>
      <c r="F22" s="139">
        <v>0.113</v>
      </c>
      <c r="G22" s="112" t="str">
        <f>IF($F$21="Pink Noise","Vavg","Vrms")</f>
        <v>Vavg</v>
      </c>
      <c r="H22" s="158" t="s">
        <v>36</v>
      </c>
      <c r="I22" s="158"/>
      <c r="J22" s="15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90">
        <v>168.516</v>
      </c>
      <c r="AT22" s="91">
        <v>10.65</v>
      </c>
      <c r="AU22" s="91">
        <v>31.4175</v>
      </c>
      <c r="AV22" s="92" t="s">
        <v>137</v>
      </c>
      <c r="AW22" s="92" t="s">
        <v>138</v>
      </c>
      <c r="AX22" s="92" t="s">
        <v>138</v>
      </c>
      <c r="AY22" s="93" t="str">
        <f t="shared" si="0"/>
        <v>360.00 / 120.00 / 120.00</v>
      </c>
      <c r="BA22" s="90">
        <v>205.94699999999997</v>
      </c>
      <c r="BB22" s="91">
        <v>21.93</v>
      </c>
      <c r="BC22" s="91">
        <v>83.895</v>
      </c>
      <c r="BD22" s="92" t="s">
        <v>139</v>
      </c>
      <c r="BE22" s="92" t="s">
        <v>136</v>
      </c>
      <c r="BF22" s="92" t="s">
        <v>136</v>
      </c>
      <c r="BG22" s="99" t="str">
        <f>BD22&amp;" / "&amp;BE22&amp;" / "&amp;BF22</f>
        <v>392.73 / 130.91 / 130.91</v>
      </c>
    </row>
    <row r="23" spans="3:65" ht="16.5" thickBot="1">
      <c r="C23" s="224"/>
      <c r="D23" s="131" t="s">
        <v>149</v>
      </c>
      <c r="E23" s="110" t="s">
        <v>210</v>
      </c>
      <c r="F23" s="115">
        <f>IF($D$23="INCLUDE",IF(ISNA($AR$34),"Pick Output Amplitude",$AR$34),0)</f>
        <v>0</v>
      </c>
      <c r="G23" s="133" t="s">
        <v>99</v>
      </c>
      <c r="H23" s="158" t="s">
        <v>160</v>
      </c>
      <c r="I23" s="158"/>
      <c r="J23" s="15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90">
        <v>205.065</v>
      </c>
      <c r="AT23" s="91">
        <v>11.1825</v>
      </c>
      <c r="AU23" s="91">
        <v>31.95</v>
      </c>
      <c r="AV23" s="92" t="s">
        <v>139</v>
      </c>
      <c r="AW23" s="92" t="s">
        <v>136</v>
      </c>
      <c r="AX23" s="92" t="s">
        <v>136</v>
      </c>
      <c r="AY23" s="93" t="str">
        <f t="shared" si="0"/>
        <v>392.73 / 130.91 / 130.91</v>
      </c>
      <c r="BA23" s="94">
        <v>272.709</v>
      </c>
      <c r="BB23" s="95">
        <v>24.735</v>
      </c>
      <c r="BC23" s="95">
        <v>91.29</v>
      </c>
      <c r="BD23" s="97" t="s">
        <v>140</v>
      </c>
      <c r="BE23" s="97" t="s">
        <v>141</v>
      </c>
      <c r="BF23" s="97" t="s">
        <v>141</v>
      </c>
      <c r="BG23" s="100" t="str">
        <f>BD23&amp;" / "&amp;BE23&amp;" / "&amp;BF23</f>
        <v>454.74 / 151.58 / 151.58</v>
      </c>
      <c r="BM23">
        <v>0</v>
      </c>
    </row>
    <row r="24" spans="3:65" ht="15.75">
      <c r="C24" s="151" t="s">
        <v>104</v>
      </c>
      <c r="D24" s="160" t="s">
        <v>148</v>
      </c>
      <c r="E24" s="176"/>
      <c r="F24" s="108" t="s">
        <v>5</v>
      </c>
      <c r="G24" s="109" t="s">
        <v>6</v>
      </c>
      <c r="H24" s="160" t="s">
        <v>7</v>
      </c>
      <c r="I24" s="160"/>
      <c r="J24" s="1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94">
        <v>272.9155</v>
      </c>
      <c r="AT24" s="95">
        <v>12.57408</v>
      </c>
      <c r="AU24" s="96" t="s">
        <v>144</v>
      </c>
      <c r="AV24" s="97" t="s">
        <v>140</v>
      </c>
      <c r="AW24" s="97" t="s">
        <v>141</v>
      </c>
      <c r="AX24" s="97" t="s">
        <v>141</v>
      </c>
      <c r="AY24" s="98" t="str">
        <f t="shared" si="0"/>
        <v>454.74 / 151.58 / 151.58</v>
      </c>
      <c r="BM24">
        <v>5</v>
      </c>
    </row>
    <row r="25" spans="3:65" ht="15">
      <c r="C25" s="174"/>
      <c r="D25" s="156" t="s">
        <v>2</v>
      </c>
      <c r="E25" s="156"/>
      <c r="F25" s="130">
        <v>8</v>
      </c>
      <c r="G25" s="112" t="s">
        <v>98</v>
      </c>
      <c r="H25" s="158" t="s">
        <v>36</v>
      </c>
      <c r="I25" s="158"/>
      <c r="J25" s="15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S25" t="s">
        <v>234</v>
      </c>
      <c r="BM25">
        <v>10</v>
      </c>
    </row>
    <row r="26" spans="3:65" ht="15">
      <c r="C26" s="174"/>
      <c r="D26" s="183" t="s">
        <v>73</v>
      </c>
      <c r="E26" s="183"/>
      <c r="F26" s="130" t="s">
        <v>38</v>
      </c>
      <c r="G26" s="112" t="s">
        <v>36</v>
      </c>
      <c r="H26" s="158" t="s">
        <v>161</v>
      </c>
      <c r="I26" s="158"/>
      <c r="J26" s="15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BM26">
        <v>20</v>
      </c>
    </row>
    <row r="27" spans="3:65" ht="15">
      <c r="C27" s="174"/>
      <c r="D27" s="183" t="s">
        <v>100</v>
      </c>
      <c r="E27" s="183"/>
      <c r="F27" s="139">
        <v>1.21</v>
      </c>
      <c r="G27" s="112" t="str">
        <f>IF($F$26="Pink Noise","Vavg","Vrms")</f>
        <v>Vrms</v>
      </c>
      <c r="H27" s="158" t="s">
        <v>36</v>
      </c>
      <c r="I27" s="158"/>
      <c r="J27" s="15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BM27">
        <v>30</v>
      </c>
    </row>
    <row r="28" spans="3:65" ht="16.5" thickBot="1">
      <c r="C28" s="175"/>
      <c r="D28" s="135" t="s">
        <v>149</v>
      </c>
      <c r="E28" s="110" t="s">
        <v>211</v>
      </c>
      <c r="F28" s="140">
        <f>IF($D$28="INCLUDE",IF(ISNA($AR$41),"Pick Output Amplitude",$AR$41),0)</f>
        <v>0</v>
      </c>
      <c r="G28" s="138" t="s">
        <v>99</v>
      </c>
      <c r="H28" s="158" t="s">
        <v>162</v>
      </c>
      <c r="I28" s="158"/>
      <c r="J28" s="15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t="s">
        <v>86</v>
      </c>
      <c r="AS28" t="s">
        <v>87</v>
      </c>
      <c r="AT28" t="s">
        <v>88</v>
      </c>
      <c r="AU28" t="s">
        <v>90</v>
      </c>
      <c r="AV28" t="s">
        <v>89</v>
      </c>
      <c r="AW28" t="s">
        <v>91</v>
      </c>
      <c r="AX28" t="s">
        <v>92</v>
      </c>
      <c r="AY28" t="s">
        <v>93</v>
      </c>
      <c r="AZ28" t="s">
        <v>94</v>
      </c>
      <c r="BA28" t="s">
        <v>95</v>
      </c>
      <c r="BB28" t="s">
        <v>96</v>
      </c>
      <c r="BD28" t="s">
        <v>105</v>
      </c>
      <c r="BE28" t="s">
        <v>106</v>
      </c>
      <c r="BF28" t="s">
        <v>107</v>
      </c>
      <c r="BG28" t="s">
        <v>108</v>
      </c>
      <c r="BM28">
        <v>40</v>
      </c>
    </row>
    <row r="29" spans="3:65" ht="13.5" customHeight="1">
      <c r="C29" s="221" t="s">
        <v>164</v>
      </c>
      <c r="D29" s="160" t="s">
        <v>148</v>
      </c>
      <c r="E29" s="176"/>
      <c r="F29" s="108" t="s">
        <v>5</v>
      </c>
      <c r="G29" s="109" t="s">
        <v>6</v>
      </c>
      <c r="H29" s="160" t="s">
        <v>7</v>
      </c>
      <c r="I29" s="160"/>
      <c r="J29" s="16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t="s">
        <v>83</v>
      </c>
      <c r="AS29" t="s">
        <v>37</v>
      </c>
      <c r="AT29" s="33">
        <v>16</v>
      </c>
      <c r="AU29" s="59">
        <v>0.59388</v>
      </c>
      <c r="AV29" s="55">
        <v>0.5656</v>
      </c>
      <c r="AW29" s="55">
        <v>0.255</v>
      </c>
      <c r="AX29" s="55">
        <v>0.236</v>
      </c>
      <c r="AY29" s="59">
        <v>0.60802</v>
      </c>
      <c r="AZ29" s="55">
        <v>0.5656</v>
      </c>
      <c r="BA29" s="55">
        <v>0.294</v>
      </c>
      <c r="BB29" s="55">
        <v>0.288</v>
      </c>
      <c r="BD29" s="74">
        <v>2.7</v>
      </c>
      <c r="BE29" s="66">
        <v>3.2</v>
      </c>
      <c r="BF29" s="66">
        <v>1.3</v>
      </c>
      <c r="BG29" s="66">
        <v>1.39</v>
      </c>
      <c r="BM29">
        <v>50</v>
      </c>
    </row>
    <row r="30" spans="3:65" ht="16.5" thickBot="1">
      <c r="C30" s="222"/>
      <c r="D30" s="135" t="s">
        <v>149</v>
      </c>
      <c r="E30" s="110" t="s">
        <v>212</v>
      </c>
      <c r="F30" s="140">
        <f>IF($D$30="INCLUDE",2.75,0)</f>
        <v>0</v>
      </c>
      <c r="G30" s="138" t="s">
        <v>99</v>
      </c>
      <c r="H30" s="158" t="s">
        <v>163</v>
      </c>
      <c r="I30" s="158"/>
      <c r="J30" s="15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t="s">
        <v>81</v>
      </c>
      <c r="AS30" t="s">
        <v>38</v>
      </c>
      <c r="AT30" s="33">
        <v>32</v>
      </c>
      <c r="AU30" s="55">
        <v>0.52318</v>
      </c>
      <c r="AV30" s="55">
        <v>0.5090399999999999</v>
      </c>
      <c r="AW30" s="55">
        <v>0.161</v>
      </c>
      <c r="AX30" s="55">
        <v>0.186</v>
      </c>
      <c r="AY30" s="55">
        <v>0.5868099999999999</v>
      </c>
      <c r="AZ30" s="55">
        <v>0.51611</v>
      </c>
      <c r="BA30" s="55">
        <v>0.21</v>
      </c>
      <c r="BB30" s="55">
        <v>0.23</v>
      </c>
      <c r="BD30" s="74">
        <v>2.58</v>
      </c>
      <c r="BE30" s="55">
        <v>2.63</v>
      </c>
      <c r="BF30" s="66">
        <v>1.25</v>
      </c>
      <c r="BG30" s="66">
        <v>1.06</v>
      </c>
      <c r="BM30">
        <v>75</v>
      </c>
    </row>
    <row r="31" spans="3:65" ht="15.75">
      <c r="C31" s="221" t="s">
        <v>152</v>
      </c>
      <c r="D31" s="160" t="s">
        <v>148</v>
      </c>
      <c r="E31" s="176"/>
      <c r="F31" s="108" t="s">
        <v>5</v>
      </c>
      <c r="G31" s="109" t="s">
        <v>6</v>
      </c>
      <c r="H31" s="160" t="s">
        <v>7</v>
      </c>
      <c r="I31" s="160"/>
      <c r="J31" s="16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U31" s="55">
        <v>0.4100599999999999</v>
      </c>
      <c r="AV31" s="55">
        <v>0.45248</v>
      </c>
      <c r="AW31" s="55">
        <v>0.113</v>
      </c>
      <c r="AX31" s="55">
        <v>0.133</v>
      </c>
      <c r="AY31" s="55">
        <v>0.46662</v>
      </c>
      <c r="AZ31" s="55">
        <v>0.45955</v>
      </c>
      <c r="BA31" s="55">
        <v>0.15</v>
      </c>
      <c r="BB31" s="55">
        <v>0.205</v>
      </c>
      <c r="BD31" s="74">
        <v>2.3</v>
      </c>
      <c r="BE31" s="55">
        <v>2.54</v>
      </c>
      <c r="BF31" s="66">
        <v>1.06</v>
      </c>
      <c r="BG31" s="66">
        <v>0.888</v>
      </c>
      <c r="BM31">
        <v>100</v>
      </c>
    </row>
    <row r="32" spans="3:65" ht="16.5" thickBot="1">
      <c r="C32" s="199"/>
      <c r="D32" s="141" t="s">
        <v>149</v>
      </c>
      <c r="E32" s="142" t="s">
        <v>214</v>
      </c>
      <c r="F32" s="143">
        <v>0</v>
      </c>
      <c r="G32" s="144" t="s">
        <v>99</v>
      </c>
      <c r="H32" s="184" t="s">
        <v>237</v>
      </c>
      <c r="I32" s="184"/>
      <c r="J32" s="1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U32" s="55">
        <v>0.32522</v>
      </c>
      <c r="AV32" s="55">
        <v>0.4100599999999999</v>
      </c>
      <c r="AW32" s="55">
        <v>0.077</v>
      </c>
      <c r="AX32" s="55">
        <v>0.105</v>
      </c>
      <c r="AY32" s="55">
        <v>0.3535</v>
      </c>
      <c r="AZ32" s="55">
        <v>0.33936</v>
      </c>
      <c r="BA32" s="55">
        <v>0.099</v>
      </c>
      <c r="BB32" s="55">
        <v>0.166</v>
      </c>
      <c r="BD32" s="74">
        <v>2.05</v>
      </c>
      <c r="BE32" s="55">
        <v>2.16</v>
      </c>
      <c r="BF32" s="66">
        <v>0.66</v>
      </c>
      <c r="BG32" s="66">
        <v>0.56</v>
      </c>
      <c r="BM32">
        <v>125</v>
      </c>
    </row>
    <row r="33" spans="3:65" ht="15.75">
      <c r="C33" s="151" t="s">
        <v>153</v>
      </c>
      <c r="D33" s="160" t="s">
        <v>148</v>
      </c>
      <c r="E33" s="176"/>
      <c r="F33" s="108" t="s">
        <v>5</v>
      </c>
      <c r="G33" s="109" t="s">
        <v>6</v>
      </c>
      <c r="H33" s="160" t="s">
        <v>7</v>
      </c>
      <c r="I33" s="160"/>
      <c r="J33" s="16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t="s">
        <v>109</v>
      </c>
      <c r="AS33" t="s">
        <v>110</v>
      </c>
      <c r="AU33" s="55">
        <v>0.25451999999999997</v>
      </c>
      <c r="AV33" s="55">
        <v>0.33936</v>
      </c>
      <c r="AW33" s="55">
        <v>0.032</v>
      </c>
      <c r="AX33" s="55">
        <v>0.064</v>
      </c>
      <c r="AY33" s="55">
        <v>0.24744999999999998</v>
      </c>
      <c r="AZ33" s="55">
        <v>0.2828</v>
      </c>
      <c r="BA33" s="55">
        <v>0.07</v>
      </c>
      <c r="BB33" s="55">
        <v>0.118</v>
      </c>
      <c r="BD33" s="74">
        <v>1.83</v>
      </c>
      <c r="BE33" s="55">
        <v>1.71</v>
      </c>
      <c r="BF33" s="66">
        <v>0.533</v>
      </c>
      <c r="BG33" s="66">
        <v>0.35</v>
      </c>
      <c r="BM33">
        <v>150</v>
      </c>
    </row>
    <row r="34" spans="3:65" ht="16.5" thickBot="1">
      <c r="C34" s="189"/>
      <c r="D34" s="131" t="s">
        <v>149</v>
      </c>
      <c r="E34" s="110" t="s">
        <v>213</v>
      </c>
      <c r="F34" s="132">
        <f>IF($D$34="INCLUDE",3,0)</f>
        <v>0</v>
      </c>
      <c r="G34" s="133" t="s">
        <v>99</v>
      </c>
      <c r="H34" s="158" t="s">
        <v>239</v>
      </c>
      <c r="I34" s="158"/>
      <c r="J34" s="15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70" t="e">
        <f>INDEX([0]!PIN,SUMPRODUCT(MATCH($F$20&amp;$F$21&amp;$F$19&amp;$F$22,[0]!MODE&amp;[0]!FILE&amp;[0]!LOAD&amp;[0]!VOUT,0)))</f>
        <v>#N/A</v>
      </c>
      <c r="AS34" t="str">
        <f>IF($F$20="AC-Coupled","AC","D")&amp;$F$19&amp;IF($F$21="Pink Noise","P","1K")</f>
        <v>D32P</v>
      </c>
      <c r="AU34" s="55">
        <v>0.20502999999999996</v>
      </c>
      <c r="AV34" s="55">
        <v>0.2828</v>
      </c>
      <c r="AW34" s="55">
        <v>0.018</v>
      </c>
      <c r="AX34" s="55">
        <v>0.04</v>
      </c>
      <c r="AY34" s="55">
        <v>0.21209999999999998</v>
      </c>
      <c r="AZ34" s="55">
        <v>0.23331</v>
      </c>
      <c r="BA34" s="55">
        <v>0.05</v>
      </c>
      <c r="BB34" s="55">
        <v>0.077</v>
      </c>
      <c r="BD34" s="74">
        <v>1.54</v>
      </c>
      <c r="BE34" s="55">
        <v>1.53</v>
      </c>
      <c r="BF34" s="66">
        <v>0.333</v>
      </c>
      <c r="BG34" s="66">
        <v>0.231</v>
      </c>
      <c r="BM34">
        <v>175</v>
      </c>
    </row>
    <row r="35" spans="3:65" ht="15.75">
      <c r="C35" s="189"/>
      <c r="D35" s="131" t="s">
        <v>149</v>
      </c>
      <c r="E35" s="113" t="s">
        <v>215</v>
      </c>
      <c r="F35" s="145">
        <v>0</v>
      </c>
      <c r="G35" s="133" t="s">
        <v>99</v>
      </c>
      <c r="H35" s="158" t="s">
        <v>235</v>
      </c>
      <c r="I35" s="158"/>
      <c r="J35" s="15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S35" t="s">
        <v>97</v>
      </c>
      <c r="AU35" s="55">
        <v>0.1414</v>
      </c>
      <c r="AV35" s="55">
        <v>0.22624</v>
      </c>
      <c r="AX35" s="55">
        <v>0.0099</v>
      </c>
      <c r="AY35" s="55">
        <v>0.166145</v>
      </c>
      <c r="AZ35" s="55">
        <v>0.17675</v>
      </c>
      <c r="BA35" s="55">
        <v>0.026</v>
      </c>
      <c r="BB35" s="55">
        <v>0.032</v>
      </c>
      <c r="BD35" s="74">
        <v>1.3</v>
      </c>
      <c r="BE35" s="55">
        <v>1.21</v>
      </c>
      <c r="BF35" s="66">
        <v>0.225</v>
      </c>
      <c r="BG35" s="66">
        <v>0.089</v>
      </c>
      <c r="BM35">
        <v>200</v>
      </c>
    </row>
    <row r="36" spans="3:65" ht="16.5" thickBot="1">
      <c r="C36" s="190"/>
      <c r="D36" s="135" t="s">
        <v>149</v>
      </c>
      <c r="E36" s="136" t="s">
        <v>216</v>
      </c>
      <c r="F36" s="146">
        <v>0</v>
      </c>
      <c r="G36" s="138" t="s">
        <v>99</v>
      </c>
      <c r="H36" s="162" t="s">
        <v>236</v>
      </c>
      <c r="I36" s="162"/>
      <c r="J36" s="16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U36" s="55">
        <v>0.10604999999999999</v>
      </c>
      <c r="AV36" s="55">
        <v>0.16968</v>
      </c>
      <c r="AY36" s="55">
        <v>0.12725999999999998</v>
      </c>
      <c r="AZ36" s="55">
        <v>0.11312</v>
      </c>
      <c r="BD36" s="74">
        <v>1.16</v>
      </c>
      <c r="BE36" s="55">
        <v>1.02</v>
      </c>
      <c r="BF36" s="66">
        <v>0.093</v>
      </c>
      <c r="BG36" s="66">
        <v>0.038</v>
      </c>
      <c r="BM36">
        <v>225</v>
      </c>
    </row>
    <row r="37" spans="3:65" ht="15.75">
      <c r="C37" s="221" t="s">
        <v>154</v>
      </c>
      <c r="D37" s="154" t="s">
        <v>148</v>
      </c>
      <c r="E37" s="194"/>
      <c r="F37" s="128" t="s">
        <v>5</v>
      </c>
      <c r="G37" s="129" t="s">
        <v>6</v>
      </c>
      <c r="H37" s="154" t="s">
        <v>7</v>
      </c>
      <c r="I37" s="154"/>
      <c r="J37" s="20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U37" s="55">
        <v>0.0707</v>
      </c>
      <c r="AV37" s="55">
        <v>0.11312</v>
      </c>
      <c r="AY37" s="55">
        <v>0.0707</v>
      </c>
      <c r="AZ37" s="55">
        <v>0.07847699999999999</v>
      </c>
      <c r="BD37" s="74">
        <v>1.03</v>
      </c>
      <c r="BE37" s="55">
        <v>0.811</v>
      </c>
      <c r="BM37">
        <v>250</v>
      </c>
    </row>
    <row r="38" spans="3:65" ht="16.5" thickBot="1">
      <c r="C38" s="199"/>
      <c r="D38" s="135" t="s">
        <v>149</v>
      </c>
      <c r="E38" s="136" t="s">
        <v>217</v>
      </c>
      <c r="F38" s="146">
        <f>IF($D$38="INCLUDE",0,0)</f>
        <v>0</v>
      </c>
      <c r="G38" s="138" t="s">
        <v>99</v>
      </c>
      <c r="H38" s="162" t="s">
        <v>238</v>
      </c>
      <c r="I38" s="162"/>
      <c r="J38" s="16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U38" s="55">
        <v>0.025451999999999995</v>
      </c>
      <c r="AV38" s="55">
        <v>0.07847699999999999</v>
      </c>
      <c r="AY38" s="55">
        <v>0.055145999999999994</v>
      </c>
      <c r="AZ38" s="55">
        <v>0.062215999999999994</v>
      </c>
      <c r="BD38" s="74">
        <v>0.615</v>
      </c>
      <c r="BE38" s="55">
        <v>0.644</v>
      </c>
      <c r="BM38">
        <v>275</v>
      </c>
    </row>
    <row r="39" spans="3:65" ht="15.75" thickBot="1">
      <c r="C39" s="116"/>
      <c r="D39" s="117"/>
      <c r="E39" s="85"/>
      <c r="F39" s="118"/>
      <c r="G39" s="2"/>
      <c r="H39" s="119"/>
      <c r="I39" s="119"/>
      <c r="J39" s="11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U39" s="68"/>
      <c r="AV39" s="55">
        <v>0.027572999999999997</v>
      </c>
      <c r="AY39" s="55">
        <v>0.036057</v>
      </c>
      <c r="AZ39" s="55">
        <v>0.027572999999999997</v>
      </c>
      <c r="BD39" s="74">
        <v>0.461</v>
      </c>
      <c r="BE39" s="55">
        <v>0.512</v>
      </c>
      <c r="BM39">
        <v>300</v>
      </c>
    </row>
    <row r="40" spans="3:65" ht="12.75">
      <c r="C40" s="177" t="s">
        <v>155</v>
      </c>
      <c r="D40" s="178"/>
      <c r="E40" s="178"/>
      <c r="F40" s="178"/>
      <c r="G40" s="178"/>
      <c r="H40" s="178"/>
      <c r="I40" s="178"/>
      <c r="J40" s="17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t="s">
        <v>111</v>
      </c>
      <c r="AS40" t="s">
        <v>112</v>
      </c>
      <c r="AU40" s="68"/>
      <c r="BD40" s="74">
        <v>0.26</v>
      </c>
      <c r="BE40" s="55">
        <v>0.322</v>
      </c>
      <c r="BM40">
        <v>325</v>
      </c>
    </row>
    <row r="41" spans="2:65" ht="13.5" thickBot="1">
      <c r="B41" s="76"/>
      <c r="C41" s="180"/>
      <c r="D41" s="181"/>
      <c r="E41" s="181"/>
      <c r="F41" s="181"/>
      <c r="G41" s="181"/>
      <c r="H41" s="181"/>
      <c r="I41" s="181"/>
      <c r="J41" s="18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2">
        <f>INDEX([0]!SPIN,SUMPRODUCT(MATCH($F$26&amp;$F$25&amp;$F$27,[0]!SFILE&amp;[0]!SLOAD&amp;[0]!SVOUT,0)))</f>
        <v>579.6</v>
      </c>
      <c r="AS41" t="str">
        <f>"S"&amp;$F$25&amp;IF($F$26="Pink Noise","P","1K")</f>
        <v>S81K</v>
      </c>
      <c r="AU41" s="68"/>
      <c r="BD41" s="74">
        <v>0.207</v>
      </c>
      <c r="BE41" s="55">
        <v>0.171</v>
      </c>
      <c r="BM41">
        <v>350</v>
      </c>
    </row>
    <row r="42" spans="2:65" ht="15.75">
      <c r="B42" s="76"/>
      <c r="C42" s="186" t="s">
        <v>201</v>
      </c>
      <c r="D42" s="160" t="s">
        <v>146</v>
      </c>
      <c r="E42" s="160"/>
      <c r="F42" s="108" t="s">
        <v>5</v>
      </c>
      <c r="G42" s="109" t="s">
        <v>6</v>
      </c>
      <c r="H42" s="160" t="s">
        <v>7</v>
      </c>
      <c r="I42" s="160"/>
      <c r="J42" s="16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U42" s="68"/>
      <c r="BD42" s="74">
        <v>0.118</v>
      </c>
      <c r="BE42" s="55">
        <v>0.129</v>
      </c>
      <c r="BM42">
        <v>375</v>
      </c>
    </row>
    <row r="43" spans="2:65" ht="15">
      <c r="B43" s="76"/>
      <c r="C43" s="187"/>
      <c r="D43" s="170" t="s">
        <v>116</v>
      </c>
      <c r="E43" s="110" t="s">
        <v>117</v>
      </c>
      <c r="F43" s="111">
        <f>$F$15</f>
        <v>34.7516</v>
      </c>
      <c r="G43" s="112" t="s">
        <v>99</v>
      </c>
      <c r="H43" s="158" t="s">
        <v>165</v>
      </c>
      <c r="I43" s="158"/>
      <c r="J43" s="15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U43" s="68"/>
      <c r="BD43" s="74">
        <v>0.068</v>
      </c>
      <c r="BE43" s="55">
        <v>0.066</v>
      </c>
      <c r="BM43">
        <v>400</v>
      </c>
    </row>
    <row r="44" spans="2:65" ht="15">
      <c r="B44" s="76"/>
      <c r="C44" s="187"/>
      <c r="D44" s="170"/>
      <c r="E44" s="113" t="s">
        <v>118</v>
      </c>
      <c r="F44" s="111">
        <v>0</v>
      </c>
      <c r="G44" s="112" t="s">
        <v>99</v>
      </c>
      <c r="H44" s="158"/>
      <c r="I44" s="158"/>
      <c r="J44" s="15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U44" s="68"/>
      <c r="BD44" s="74">
        <v>0.032</v>
      </c>
      <c r="BE44" s="55">
        <v>0.017</v>
      </c>
      <c r="BM44">
        <v>425</v>
      </c>
    </row>
    <row r="45" spans="3:65" ht="15.75">
      <c r="C45" s="187"/>
      <c r="D45" s="170"/>
      <c r="E45" s="114" t="s">
        <v>225</v>
      </c>
      <c r="F45" s="111">
        <f>SUM(F43:F44)</f>
        <v>34.7516</v>
      </c>
      <c r="G45" s="112" t="s">
        <v>99</v>
      </c>
      <c r="H45" s="158" t="s">
        <v>36</v>
      </c>
      <c r="I45" s="158"/>
      <c r="J45" s="15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U45" s="68"/>
      <c r="BM45">
        <v>450</v>
      </c>
    </row>
    <row r="46" spans="3:65" ht="15">
      <c r="C46" s="187"/>
      <c r="D46" s="191" t="s">
        <v>45</v>
      </c>
      <c r="E46" s="110" t="s">
        <v>117</v>
      </c>
      <c r="F46" s="111">
        <f>$F$34</f>
        <v>0</v>
      </c>
      <c r="G46" s="112" t="s">
        <v>99</v>
      </c>
      <c r="H46" s="158" t="s">
        <v>167</v>
      </c>
      <c r="I46" s="158"/>
      <c r="J46" s="15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U46" s="68"/>
      <c r="BM46">
        <v>475</v>
      </c>
    </row>
    <row r="47" spans="3:65" ht="15">
      <c r="C47" s="187"/>
      <c r="D47" s="192"/>
      <c r="E47" s="113" t="s">
        <v>118</v>
      </c>
      <c r="F47" s="111">
        <f>$F$32+$F$35+$F$38</f>
        <v>0</v>
      </c>
      <c r="G47" s="112" t="s">
        <v>99</v>
      </c>
      <c r="H47" s="158" t="s">
        <v>168</v>
      </c>
      <c r="I47" s="158"/>
      <c r="J47" s="15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U47" s="68"/>
      <c r="BM47">
        <v>500</v>
      </c>
    </row>
    <row r="48" spans="3:65" ht="15">
      <c r="C48" s="187"/>
      <c r="D48" s="192"/>
      <c r="E48" s="113" t="s">
        <v>197</v>
      </c>
      <c r="F48" s="111">
        <f>(0.8/2.5)*F$55</f>
        <v>3.17616</v>
      </c>
      <c r="G48" s="112" t="s">
        <v>99</v>
      </c>
      <c r="H48" s="158" t="s">
        <v>203</v>
      </c>
      <c r="I48" s="158"/>
      <c r="J48" s="15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U48" s="68"/>
      <c r="BM48">
        <v>525</v>
      </c>
    </row>
    <row r="49" spans="3:65" ht="15.75">
      <c r="C49" s="187"/>
      <c r="D49" s="193"/>
      <c r="E49" s="114" t="s">
        <v>226</v>
      </c>
      <c r="F49" s="111">
        <f>SUM(F46:F48)</f>
        <v>3.17616</v>
      </c>
      <c r="G49" s="112" t="s">
        <v>99</v>
      </c>
      <c r="H49" s="158"/>
      <c r="I49" s="158"/>
      <c r="J49" s="15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U49" s="68"/>
      <c r="BM49">
        <v>550</v>
      </c>
    </row>
    <row r="50" spans="2:65" ht="15">
      <c r="B50" s="76"/>
      <c r="C50" s="187"/>
      <c r="D50" s="170" t="s">
        <v>119</v>
      </c>
      <c r="E50" s="110" t="s">
        <v>117</v>
      </c>
      <c r="F50" s="111">
        <f>$F$23+$F$30+IF($F$13="mDDR",$F$16,0)</f>
        <v>0</v>
      </c>
      <c r="G50" s="112" t="s">
        <v>99</v>
      </c>
      <c r="H50" s="158" t="s">
        <v>166</v>
      </c>
      <c r="I50" s="158"/>
      <c r="J50" s="15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U50" s="68"/>
      <c r="BM50">
        <v>575</v>
      </c>
    </row>
    <row r="51" spans="2:65" ht="15.75" customHeight="1">
      <c r="B51" s="101"/>
      <c r="C51" s="187"/>
      <c r="D51" s="170"/>
      <c r="E51" s="113" t="s">
        <v>118</v>
      </c>
      <c r="F51" s="124">
        <f>IF($F$13="mDDR",$F$17,0)</f>
        <v>0</v>
      </c>
      <c r="G51" s="112" t="s">
        <v>99</v>
      </c>
      <c r="H51" s="158" t="s">
        <v>169</v>
      </c>
      <c r="I51" s="158"/>
      <c r="J51" s="15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U51" s="68"/>
      <c r="AZ51" s="206" t="s">
        <v>175</v>
      </c>
      <c r="BA51" s="206"/>
      <c r="BB51" s="206"/>
      <c r="BC51" s="206"/>
      <c r="BD51" s="206"/>
      <c r="BE51" s="206"/>
      <c r="BF51" s="206"/>
      <c r="BM51">
        <v>600</v>
      </c>
    </row>
    <row r="52" spans="2:65" ht="15.75" customHeight="1">
      <c r="B52" s="101"/>
      <c r="C52" s="187"/>
      <c r="D52" s="170"/>
      <c r="E52" s="114" t="s">
        <v>227</v>
      </c>
      <c r="F52" s="111">
        <f>SUM(F50:F51)</f>
        <v>0</v>
      </c>
      <c r="G52" s="112" t="s">
        <v>99</v>
      </c>
      <c r="H52" s="158" t="s">
        <v>36</v>
      </c>
      <c r="I52" s="158"/>
      <c r="J52" s="15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U52" s="68"/>
      <c r="AZ52" s="206" t="s">
        <v>176</v>
      </c>
      <c r="BA52" s="206"/>
      <c r="BB52" s="206"/>
      <c r="BC52" s="206"/>
      <c r="BD52" s="206"/>
      <c r="BE52" s="206"/>
      <c r="BM52">
        <v>625</v>
      </c>
    </row>
    <row r="53" spans="2:65" ht="15" customHeight="1">
      <c r="B53" s="101"/>
      <c r="C53" s="187"/>
      <c r="D53" s="191" t="s">
        <v>120</v>
      </c>
      <c r="E53" s="110" t="s">
        <v>117</v>
      </c>
      <c r="F53" s="111">
        <f>IF($F$13="DDR1",$F$16,0)</f>
        <v>9.9255</v>
      </c>
      <c r="G53" s="112" t="s">
        <v>99</v>
      </c>
      <c r="H53" s="158" t="s">
        <v>170</v>
      </c>
      <c r="I53" s="158"/>
      <c r="J53" s="1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05"/>
      <c r="AS53" s="106" t="s">
        <v>183</v>
      </c>
      <c r="AT53" s="106" t="s">
        <v>184</v>
      </c>
      <c r="AU53" s="105"/>
      <c r="AY53" s="103" t="s">
        <v>191</v>
      </c>
      <c r="AZ53" s="103" t="s">
        <v>126</v>
      </c>
      <c r="BA53" s="103" t="s">
        <v>185</v>
      </c>
      <c r="BB53" s="103" t="s">
        <v>145</v>
      </c>
      <c r="BC53" s="103" t="s">
        <v>174</v>
      </c>
      <c r="BD53" s="103">
        <v>4.2</v>
      </c>
      <c r="BE53" s="103">
        <v>4</v>
      </c>
      <c r="BF53" s="103">
        <v>3.8</v>
      </c>
      <c r="BG53" s="103">
        <v>3.6</v>
      </c>
      <c r="BH53" s="103">
        <v>3.4</v>
      </c>
      <c r="BI53" s="103">
        <v>3.2</v>
      </c>
      <c r="BJ53" s="103" t="s">
        <v>182</v>
      </c>
      <c r="BM53">
        <v>650</v>
      </c>
    </row>
    <row r="54" spans="2:65" ht="15.75" customHeight="1">
      <c r="B54" s="101"/>
      <c r="C54" s="187"/>
      <c r="D54" s="207"/>
      <c r="E54" s="113" t="s">
        <v>118</v>
      </c>
      <c r="F54" s="111">
        <f>IF($F$13="DDR1",$F$17,0)</f>
        <v>0</v>
      </c>
      <c r="G54" s="112" t="s">
        <v>99</v>
      </c>
      <c r="H54" s="158" t="s">
        <v>171</v>
      </c>
      <c r="I54" s="158"/>
      <c r="J54" s="15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05" t="s">
        <v>126</v>
      </c>
      <c r="AS54" s="105">
        <f>PDDD</f>
        <v>34.7516</v>
      </c>
      <c r="AT54" s="105">
        <f>IF(AS54&lt;80,53,IF(AS54&lt;180,128,233))</f>
        <v>53</v>
      </c>
      <c r="AU54" s="105"/>
      <c r="AY54" s="68" t="str">
        <f>AZ54&amp;BA54&amp;BB54</f>
        <v>5315688</v>
      </c>
      <c r="AZ54" s="107" t="s">
        <v>188</v>
      </c>
      <c r="BA54" s="107">
        <v>156</v>
      </c>
      <c r="BB54" s="107">
        <v>88</v>
      </c>
      <c r="BC54" t="s">
        <v>177</v>
      </c>
      <c r="BD54" s="104">
        <v>0.9155328798185941</v>
      </c>
      <c r="BE54" s="104">
        <v>0.9176136363636364</v>
      </c>
      <c r="BF54" s="104">
        <v>0.913978494623656</v>
      </c>
      <c r="BG54" s="104">
        <v>0.9155328798185941</v>
      </c>
      <c r="BH54" s="104">
        <v>0.9178743961352658</v>
      </c>
      <c r="BI54" s="104">
        <v>0.9134615384615384</v>
      </c>
      <c r="BJ54" s="104">
        <f>AVERAGE(BD54:BH54)</f>
        <v>0.9161064573519493</v>
      </c>
      <c r="BM54">
        <v>675</v>
      </c>
    </row>
    <row r="55" spans="2:65" ht="15.75" customHeight="1">
      <c r="B55" s="101"/>
      <c r="C55" s="187"/>
      <c r="D55" s="207"/>
      <c r="E55" s="114" t="s">
        <v>228</v>
      </c>
      <c r="F55" s="111">
        <f>SUM(F53:F54)</f>
        <v>9.9255</v>
      </c>
      <c r="G55" s="112" t="s">
        <v>99</v>
      </c>
      <c r="H55" s="158" t="s">
        <v>36</v>
      </c>
      <c r="I55" s="158"/>
      <c r="J55" s="15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05" t="s">
        <v>145</v>
      </c>
      <c r="AS55" s="105">
        <f>PDDA</f>
        <v>0</v>
      </c>
      <c r="AT55" s="105">
        <f>IF(AS55&lt;200,88,350)</f>
        <v>88</v>
      </c>
      <c r="AU55" s="105"/>
      <c r="AY55" s="68" t="str">
        <f aca="true" t="shared" si="1" ref="AY55:AY65">AZ55&amp;BA55&amp;BB55</f>
        <v>53630350</v>
      </c>
      <c r="AZ55" s="107" t="s">
        <v>188</v>
      </c>
      <c r="BA55" s="107">
        <v>630</v>
      </c>
      <c r="BB55" s="107">
        <v>350</v>
      </c>
      <c r="BC55" t="s">
        <v>177</v>
      </c>
      <c r="BD55" s="104">
        <v>0.7479023337380278</v>
      </c>
      <c r="BE55" s="104">
        <v>0.7392266666666668</v>
      </c>
      <c r="BF55" s="104">
        <v>0.7204938271604939</v>
      </c>
      <c r="BG55" s="104">
        <v>0.6968577174459528</v>
      </c>
      <c r="BH55" s="104">
        <v>0.6575189753320685</v>
      </c>
      <c r="BI55" s="104">
        <v>0.5873093220338984</v>
      </c>
      <c r="BJ55" s="104">
        <f aca="true" t="shared" si="2" ref="BJ55:BJ65">AVERAGE(BD55:BH55)</f>
        <v>0.712399904068642</v>
      </c>
      <c r="BM55">
        <v>700</v>
      </c>
    </row>
    <row r="56" spans="2:65" ht="15.75" customHeight="1">
      <c r="B56" s="101"/>
      <c r="C56" s="187"/>
      <c r="D56" s="191" t="s">
        <v>121</v>
      </c>
      <c r="E56" s="110" t="s">
        <v>117</v>
      </c>
      <c r="F56" s="111">
        <f>$F$28</f>
        <v>0</v>
      </c>
      <c r="G56" s="112" t="s">
        <v>99</v>
      </c>
      <c r="H56" s="158" t="s">
        <v>172</v>
      </c>
      <c r="I56" s="158"/>
      <c r="J56" s="15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05" t="s">
        <v>186</v>
      </c>
      <c r="AS56" s="105">
        <f>PDDIO+PDDM</f>
        <v>13.101659999999999</v>
      </c>
      <c r="AT56" s="105">
        <f>IF(AS56&lt;300,156,630)</f>
        <v>156</v>
      </c>
      <c r="AU56" s="105"/>
      <c r="AY56" s="68" t="str">
        <f t="shared" si="1"/>
        <v>5363088</v>
      </c>
      <c r="AZ56" s="107" t="s">
        <v>188</v>
      </c>
      <c r="BA56" s="107">
        <v>630</v>
      </c>
      <c r="BB56" s="107">
        <v>88</v>
      </c>
      <c r="BC56" t="s">
        <v>177</v>
      </c>
      <c r="BD56" s="104">
        <v>0.8488348530901723</v>
      </c>
      <c r="BE56" s="104">
        <v>0.8445564516129033</v>
      </c>
      <c r="BF56" s="104">
        <v>0.8415026114905586</v>
      </c>
      <c r="BG56" s="104">
        <v>0.8252561071710008</v>
      </c>
      <c r="BH56" s="104">
        <v>0.8026441847097147</v>
      </c>
      <c r="BI56" s="104">
        <v>0.7610828488372094</v>
      </c>
      <c r="BJ56" s="104">
        <f t="shared" si="2"/>
        <v>0.8325588416148699</v>
      </c>
      <c r="BM56">
        <v>725</v>
      </c>
    </row>
    <row r="57" spans="2:65" ht="15.75" customHeight="1">
      <c r="B57" s="101"/>
      <c r="C57" s="187"/>
      <c r="D57" s="207"/>
      <c r="E57" s="113" t="s">
        <v>118</v>
      </c>
      <c r="F57" s="111">
        <f>$F$36</f>
        <v>0</v>
      </c>
      <c r="G57" s="112" t="s">
        <v>99</v>
      </c>
      <c r="H57" s="158" t="s">
        <v>173</v>
      </c>
      <c r="I57" s="158"/>
      <c r="J57" s="15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05"/>
      <c r="AS57" s="105"/>
      <c r="AT57" s="105"/>
      <c r="AU57" s="105"/>
      <c r="AY57" s="68" t="str">
        <f t="shared" si="1"/>
        <v>53156350</v>
      </c>
      <c r="AZ57" s="107" t="s">
        <v>188</v>
      </c>
      <c r="BA57" s="107">
        <v>156</v>
      </c>
      <c r="BB57" s="107">
        <v>350</v>
      </c>
      <c r="BC57" t="s">
        <v>177</v>
      </c>
      <c r="BD57" s="104">
        <v>0.7909471480900053</v>
      </c>
      <c r="BE57" s="104">
        <v>0.7955263157894737</v>
      </c>
      <c r="BF57" s="104">
        <v>0.7876498176133404</v>
      </c>
      <c r="BG57" s="104">
        <v>0.788471570161711</v>
      </c>
      <c r="BH57" s="104">
        <v>0.773145780051151</v>
      </c>
      <c r="BI57" s="104">
        <v>0.7711734693877551</v>
      </c>
      <c r="BJ57" s="104">
        <f t="shared" si="2"/>
        <v>0.7871481263411363</v>
      </c>
      <c r="BM57">
        <v>750</v>
      </c>
    </row>
    <row r="58" spans="2:65" ht="15.75" customHeight="1" thickBot="1">
      <c r="B58" s="101"/>
      <c r="C58" s="188"/>
      <c r="D58" s="208"/>
      <c r="E58" s="125" t="s">
        <v>229</v>
      </c>
      <c r="F58" s="126">
        <f>SUM(F56:F57)</f>
        <v>0</v>
      </c>
      <c r="G58" s="127" t="s">
        <v>99</v>
      </c>
      <c r="H58" s="162" t="s">
        <v>36</v>
      </c>
      <c r="I58" s="162"/>
      <c r="J58" s="16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05" t="s">
        <v>191</v>
      </c>
      <c r="AS58" s="105" t="str">
        <f>AT54&amp;AT56&amp;AT55</f>
        <v>5315688</v>
      </c>
      <c r="AT58" s="105"/>
      <c r="AU58" s="105"/>
      <c r="AY58" s="68" t="str">
        <f t="shared" si="1"/>
        <v>12815688</v>
      </c>
      <c r="AZ58" s="107">
        <v>128</v>
      </c>
      <c r="BA58" s="107">
        <v>156</v>
      </c>
      <c r="BB58" s="107">
        <v>88</v>
      </c>
      <c r="BC58" t="s">
        <v>177</v>
      </c>
      <c r="BD58" s="104">
        <v>0.8625541125541125</v>
      </c>
      <c r="BE58" s="104">
        <v>0.866304347826087</v>
      </c>
      <c r="BF58" s="104">
        <v>0.866681165724228</v>
      </c>
      <c r="BG58" s="104">
        <v>0.8648003472222222</v>
      </c>
      <c r="BH58" s="104">
        <v>0.8618079584775087</v>
      </c>
      <c r="BI58" s="104">
        <v>0.8529537671232876</v>
      </c>
      <c r="BJ58" s="104">
        <f t="shared" si="2"/>
        <v>0.8644295863608317</v>
      </c>
      <c r="BM58">
        <v>775</v>
      </c>
    </row>
    <row r="59" spans="2:65" ht="15.75">
      <c r="B59" s="101"/>
      <c r="C59" s="197" t="s">
        <v>198</v>
      </c>
      <c r="D59" s="160" t="s">
        <v>147</v>
      </c>
      <c r="E59" s="160"/>
      <c r="F59" s="108" t="s">
        <v>5</v>
      </c>
      <c r="G59" s="109" t="s">
        <v>6</v>
      </c>
      <c r="H59" s="160" t="s">
        <v>7</v>
      </c>
      <c r="I59" s="160"/>
      <c r="J59" s="16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05" t="s">
        <v>190</v>
      </c>
      <c r="AS59" s="105">
        <f>MATCH($AS58,AY54:AY65,0)</f>
        <v>1</v>
      </c>
      <c r="AT59" s="105"/>
      <c r="AU59" s="105"/>
      <c r="AY59" s="68" t="str">
        <f t="shared" si="1"/>
        <v>128630350</v>
      </c>
      <c r="AZ59" s="107">
        <v>128</v>
      </c>
      <c r="BA59" s="107">
        <v>630</v>
      </c>
      <c r="BB59" s="107">
        <v>350</v>
      </c>
      <c r="BC59" t="s">
        <v>177</v>
      </c>
      <c r="BD59" s="104">
        <v>0.7297033567525371</v>
      </c>
      <c r="BE59" s="104">
        <v>0.7264896373056995</v>
      </c>
      <c r="BF59" s="104">
        <v>0.7028195488721805</v>
      </c>
      <c r="BG59" s="104">
        <v>0.6773550724637681</v>
      </c>
      <c r="BH59" s="104">
        <v>0.6418516823071642</v>
      </c>
      <c r="BI59" s="104">
        <v>0.574641393442623</v>
      </c>
      <c r="BJ59" s="104">
        <f t="shared" si="2"/>
        <v>0.6956438595402699</v>
      </c>
      <c r="BM59">
        <v>800</v>
      </c>
    </row>
    <row r="60" spans="2:65" ht="15.75">
      <c r="B60" s="101"/>
      <c r="C60" s="198"/>
      <c r="D60" s="170" t="s">
        <v>200</v>
      </c>
      <c r="E60" s="110" t="s">
        <v>117</v>
      </c>
      <c r="F60" s="111">
        <f>F43+F46+F50+F53</f>
        <v>44.6771</v>
      </c>
      <c r="G60" s="112" t="s">
        <v>99</v>
      </c>
      <c r="H60" s="158" t="s">
        <v>194</v>
      </c>
      <c r="I60" s="158"/>
      <c r="J60" s="15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05" t="s">
        <v>187</v>
      </c>
      <c r="AS60" s="105">
        <f>INDEX(BJ54:BJ65,$AS$59)</f>
        <v>0.9161064573519493</v>
      </c>
      <c r="AT60" s="105"/>
      <c r="AU60" s="105"/>
      <c r="AY60" s="68" t="str">
        <f t="shared" si="1"/>
        <v>12863088</v>
      </c>
      <c r="AZ60" s="107">
        <v>128</v>
      </c>
      <c r="BA60" s="107">
        <v>630</v>
      </c>
      <c r="BB60" s="107">
        <v>88</v>
      </c>
      <c r="BC60" t="s">
        <v>177</v>
      </c>
      <c r="BD60" s="104">
        <v>0.8090569561157797</v>
      </c>
      <c r="BE60" s="104">
        <v>0.8052973977695167</v>
      </c>
      <c r="BF60" s="104">
        <v>0.805746698902734</v>
      </c>
      <c r="BG60" s="104">
        <v>0.7865831517792301</v>
      </c>
      <c r="BH60" s="104">
        <v>0.7630327580133851</v>
      </c>
      <c r="BI60" s="104">
        <v>0.7298685983827493</v>
      </c>
      <c r="BJ60" s="104">
        <f t="shared" si="2"/>
        <v>0.7939433925161291</v>
      </c>
      <c r="BM60">
        <v>825</v>
      </c>
    </row>
    <row r="61" spans="2:65" ht="15.75">
      <c r="B61" s="101"/>
      <c r="C61" s="198"/>
      <c r="D61" s="170"/>
      <c r="E61" s="113" t="s">
        <v>118</v>
      </c>
      <c r="F61" s="111">
        <f>F44+F47+F51+F54+F48</f>
        <v>3.17616</v>
      </c>
      <c r="G61" s="112" t="s">
        <v>99</v>
      </c>
      <c r="H61" s="158" t="s">
        <v>195</v>
      </c>
      <c r="I61" s="158"/>
      <c r="J61" s="15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05"/>
      <c r="AS61" s="105"/>
      <c r="AT61" s="105"/>
      <c r="AU61" s="105"/>
      <c r="AY61" s="68" t="str">
        <f t="shared" si="1"/>
        <v>128156350</v>
      </c>
      <c r="AZ61" s="107">
        <v>128</v>
      </c>
      <c r="BA61" s="107">
        <v>156</v>
      </c>
      <c r="BB61" s="107">
        <v>350</v>
      </c>
      <c r="BC61" t="s">
        <v>177</v>
      </c>
      <c r="BD61" s="104">
        <v>0.7743425728500356</v>
      </c>
      <c r="BE61" s="104">
        <v>0.7601162790697675</v>
      </c>
      <c r="BF61" s="104">
        <v>0.7611783884489987</v>
      </c>
      <c r="BG61" s="104">
        <v>0.7565972222222223</v>
      </c>
      <c r="BH61" s="104">
        <v>0.7690588235294118</v>
      </c>
      <c r="BI61" s="104">
        <v>0.7428409090909092</v>
      </c>
      <c r="BJ61" s="104">
        <f t="shared" si="2"/>
        <v>0.7642586572240871</v>
      </c>
      <c r="BM61">
        <v>850</v>
      </c>
    </row>
    <row r="62" spans="2:65" ht="15.75">
      <c r="B62" s="101"/>
      <c r="C62" s="198"/>
      <c r="D62" s="170"/>
      <c r="E62" s="114" t="s">
        <v>230</v>
      </c>
      <c r="F62" s="111">
        <f>SUM(F60:F61)</f>
        <v>47.853260000000006</v>
      </c>
      <c r="G62" s="112" t="s">
        <v>99</v>
      </c>
      <c r="H62" s="158" t="s">
        <v>196</v>
      </c>
      <c r="I62" s="158"/>
      <c r="J62" s="15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05"/>
      <c r="AS62" s="105"/>
      <c r="AT62" s="105"/>
      <c r="AU62" s="105"/>
      <c r="AY62" s="68" t="str">
        <f t="shared" si="1"/>
        <v>23315688</v>
      </c>
      <c r="AZ62" s="107" t="s">
        <v>189</v>
      </c>
      <c r="BA62" s="107">
        <v>156</v>
      </c>
      <c r="BB62" s="107">
        <v>88</v>
      </c>
      <c r="BC62" t="s">
        <v>178</v>
      </c>
      <c r="BD62" s="104">
        <v>0.8554421768707483</v>
      </c>
      <c r="BE62" s="104">
        <v>0.8554421768707483</v>
      </c>
      <c r="BF62" s="104">
        <v>0.8595352016404649</v>
      </c>
      <c r="BG62" s="104">
        <v>0.8519647696476965</v>
      </c>
      <c r="BH62" s="104">
        <v>0.8502366463826909</v>
      </c>
      <c r="BI62" s="104">
        <v>0.8450940860215053</v>
      </c>
      <c r="BJ62" s="104">
        <f t="shared" si="2"/>
        <v>0.8545241942824697</v>
      </c>
      <c r="BM62">
        <v>875</v>
      </c>
    </row>
    <row r="63" spans="2:65" ht="15.75">
      <c r="B63" s="101"/>
      <c r="C63" s="198"/>
      <c r="D63" s="204" t="s">
        <v>8</v>
      </c>
      <c r="E63" s="183"/>
      <c r="F63" s="115">
        <f>E*100</f>
        <v>91.61064573519494</v>
      </c>
      <c r="G63" s="112" t="s">
        <v>9</v>
      </c>
      <c r="H63" s="158" t="s">
        <v>23</v>
      </c>
      <c r="I63" s="158"/>
      <c r="J63" s="15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05"/>
      <c r="AS63" s="105"/>
      <c r="AT63" s="105"/>
      <c r="AU63" s="105"/>
      <c r="AY63" s="68" t="str">
        <f t="shared" si="1"/>
        <v>233630350</v>
      </c>
      <c r="AZ63" s="107" t="s">
        <v>189</v>
      </c>
      <c r="BA63" s="107">
        <v>630</v>
      </c>
      <c r="BB63" s="107">
        <v>350</v>
      </c>
      <c r="BC63" t="s">
        <v>178</v>
      </c>
      <c r="BD63" s="104">
        <v>0.7169273548835592</v>
      </c>
      <c r="BE63" s="104">
        <v>0.7063698630136986</v>
      </c>
      <c r="BF63" s="104">
        <v>0.7033988859838581</v>
      </c>
      <c r="BG63" s="104">
        <v>0.6807260726072607</v>
      </c>
      <c r="BH63" s="104">
        <v>0.6499789915966386</v>
      </c>
      <c r="BI63" s="104">
        <v>0.5904389312977099</v>
      </c>
      <c r="BJ63" s="104">
        <f t="shared" si="2"/>
        <v>0.6914802336170031</v>
      </c>
      <c r="BM63">
        <v>900</v>
      </c>
    </row>
    <row r="64" spans="2:62" ht="15.75">
      <c r="B64" s="101"/>
      <c r="C64" s="198"/>
      <c r="D64" s="170" t="s">
        <v>199</v>
      </c>
      <c r="E64" s="110" t="s">
        <v>117</v>
      </c>
      <c r="F64" s="111">
        <f>F60/($F$63/100)</f>
        <v>48.768458776222744</v>
      </c>
      <c r="G64" s="112" t="s">
        <v>99</v>
      </c>
      <c r="H64" s="158" t="s">
        <v>192</v>
      </c>
      <c r="I64" s="158"/>
      <c r="J64" s="15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05"/>
      <c r="AS64" s="105"/>
      <c r="AT64" s="105"/>
      <c r="AU64" s="105"/>
      <c r="AY64" s="68" t="str">
        <f t="shared" si="1"/>
        <v>23363088</v>
      </c>
      <c r="AZ64" s="107" t="s">
        <v>189</v>
      </c>
      <c r="BA64" s="107">
        <v>630</v>
      </c>
      <c r="BB64" s="107">
        <v>88</v>
      </c>
      <c r="BC64" t="s">
        <v>178</v>
      </c>
      <c r="BD64" s="104">
        <v>0.8003650240584038</v>
      </c>
      <c r="BE64" s="104">
        <v>0.7933881578947368</v>
      </c>
      <c r="BF64" s="104">
        <v>0.7884602811376267</v>
      </c>
      <c r="BG64" s="104">
        <v>0.7813087139617753</v>
      </c>
      <c r="BH64" s="104">
        <v>0.7566745098039216</v>
      </c>
      <c r="BI64" s="104">
        <v>0.7389399509803921</v>
      </c>
      <c r="BJ64" s="104">
        <f t="shared" si="2"/>
        <v>0.7840393373712928</v>
      </c>
    </row>
    <row r="65" spans="2:62" ht="15.75">
      <c r="B65" s="101"/>
      <c r="C65" s="198"/>
      <c r="D65" s="170"/>
      <c r="E65" s="113" t="s">
        <v>118</v>
      </c>
      <c r="F65" s="111">
        <f>F61/($F$63/100)</f>
        <v>3.4670206442828118</v>
      </c>
      <c r="G65" s="112" t="s">
        <v>99</v>
      </c>
      <c r="H65" s="158" t="s">
        <v>193</v>
      </c>
      <c r="I65" s="158"/>
      <c r="J65" s="15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05"/>
      <c r="AS65" s="105"/>
      <c r="AT65" s="105"/>
      <c r="AU65" s="105"/>
      <c r="AY65" s="68" t="str">
        <f t="shared" si="1"/>
        <v>233156350</v>
      </c>
      <c r="AZ65" s="107" t="s">
        <v>189</v>
      </c>
      <c r="BA65" s="107">
        <v>156</v>
      </c>
      <c r="BB65" s="107">
        <v>350</v>
      </c>
      <c r="BC65" t="s">
        <v>178</v>
      </c>
      <c r="BD65" s="104">
        <v>0.7215401785714285</v>
      </c>
      <c r="BE65" s="104">
        <v>0.7183333333333333</v>
      </c>
      <c r="BF65" s="104">
        <v>0.7163434903047091</v>
      </c>
      <c r="BG65" s="104">
        <v>0.7112211221122112</v>
      </c>
      <c r="BH65" s="104">
        <v>0.7086225794665693</v>
      </c>
      <c r="BI65" s="104">
        <v>0.7027173913043477</v>
      </c>
      <c r="BJ65" s="104">
        <f t="shared" si="2"/>
        <v>0.7152121407576502</v>
      </c>
    </row>
    <row r="66" spans="2:43" ht="17.25" thickBot="1">
      <c r="B66" s="101"/>
      <c r="C66" s="198"/>
      <c r="D66" s="200"/>
      <c r="E66" s="125" t="s">
        <v>220</v>
      </c>
      <c r="F66" s="126">
        <f>SUM(F64:F65)</f>
        <v>52.235479420505555</v>
      </c>
      <c r="G66" s="127" t="s">
        <v>99</v>
      </c>
      <c r="H66" s="201" t="s">
        <v>222</v>
      </c>
      <c r="I66" s="202"/>
      <c r="J66" s="20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15.75">
      <c r="B67" s="101"/>
      <c r="C67" s="198"/>
      <c r="D67" s="170" t="s">
        <v>221</v>
      </c>
      <c r="E67" s="241" t="s">
        <v>224</v>
      </c>
      <c r="F67" s="238">
        <f>$F$66+$F$58</f>
        <v>52.235479420505555</v>
      </c>
      <c r="G67" s="235" t="s">
        <v>99</v>
      </c>
      <c r="H67" s="227" t="s">
        <v>223</v>
      </c>
      <c r="I67" s="228"/>
      <c r="J67" s="22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ht="31.5" customHeight="1">
      <c r="B68" s="101"/>
      <c r="C68" s="198"/>
      <c r="D68" s="170"/>
      <c r="E68" s="242"/>
      <c r="F68" s="239"/>
      <c r="G68" s="236"/>
      <c r="H68" s="230"/>
      <c r="I68" s="153"/>
      <c r="J68" s="23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ht="16.5" thickBot="1">
      <c r="B69" s="101"/>
      <c r="C69" s="199"/>
      <c r="D69" s="200"/>
      <c r="E69" s="243"/>
      <c r="F69" s="240"/>
      <c r="G69" s="237"/>
      <c r="H69" s="232"/>
      <c r="I69" s="233"/>
      <c r="J69" s="23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ht="15.75">
      <c r="B70" s="10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ht="15.75">
      <c r="B71" s="10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4:43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4:43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4:43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4:43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4:43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4:43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4:43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4:43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4:43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4:43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4:43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4:43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4:60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="1" customFormat="1" ht="12.75">
      <c r="B85" s="3"/>
    </row>
    <row r="86" s="1" customFormat="1" ht="12.75">
      <c r="B86" s="3"/>
    </row>
    <row r="87" s="1" customFormat="1" ht="12.75">
      <c r="B87" s="3"/>
    </row>
    <row r="88" s="1" customFormat="1" ht="12.75">
      <c r="B88" s="3"/>
    </row>
    <row r="89" spans="2:60" s="1" customFormat="1" ht="12.75">
      <c r="B89" s="3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4:43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4:43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4:43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4:43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4:43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4:43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4:43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4:43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4:43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4:43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4:43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4:43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4:43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4:43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4:43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4:43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4:43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4:43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="1" customFormat="1" ht="12.75">
      <c r="B108" s="3"/>
    </row>
    <row r="109" s="1" customFormat="1" ht="12.75">
      <c r="B109" s="3"/>
    </row>
    <row r="110" s="1" customFormat="1" ht="12.75">
      <c r="B110" s="3"/>
    </row>
    <row r="111" s="1" customFormat="1" ht="12.75">
      <c r="B111" s="3"/>
    </row>
    <row r="112" s="1" customFormat="1" ht="12.75">
      <c r="B112" s="3"/>
    </row>
    <row r="113" s="1" customFormat="1" ht="12.75">
      <c r="B113" s="3"/>
    </row>
    <row r="114" spans="2:10" s="1" customFormat="1" ht="12.75">
      <c r="B114" s="3"/>
      <c r="C114" s="147"/>
      <c r="D114" s="147"/>
      <c r="E114" s="147"/>
      <c r="F114" s="147"/>
      <c r="G114" s="147"/>
      <c r="H114" s="147"/>
      <c r="I114" s="147"/>
      <c r="J114" s="147"/>
    </row>
    <row r="115" spans="2:10" s="1" customFormat="1" ht="12.75">
      <c r="B115" s="3"/>
      <c r="C115" s="147"/>
      <c r="D115" s="147"/>
      <c r="E115" s="147"/>
      <c r="F115" s="147"/>
      <c r="G115" s="147"/>
      <c r="H115" s="147"/>
      <c r="I115" s="147"/>
      <c r="J115" s="147"/>
    </row>
    <row r="116" spans="2:19" s="1" customFormat="1" ht="12.75">
      <c r="B116" s="3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</row>
    <row r="117" spans="2:19" s="1" customFormat="1" ht="12.75">
      <c r="B117" s="3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3:40" ht="12.7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3:40" ht="12.7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3:40" ht="12.7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3:40" ht="12.7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3:40" ht="12.7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3:40" ht="12.7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3:40" ht="12.7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3:40" ht="12.7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3:40" ht="12.7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3:40" ht="12.7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3:40" ht="12.7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3:40" ht="12.7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3:40" ht="12.7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3:40" ht="12.7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3:40" ht="12.75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3:40" ht="12.75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3:40" ht="12.75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3:40" ht="12.75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3:40" ht="12.75"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3:40" ht="12.75"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3:40" ht="12.75"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3:40" ht="12.75"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3:40" ht="12.75"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3:40" ht="12.75"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3:40" ht="12.75"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3:40" ht="12.75"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3:40" ht="12.75"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3:40" ht="12.75"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3:40" ht="12.75"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3:40" ht="12.75"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3:40" ht="12.75"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3:40" ht="12.75"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19" s="1" customFormat="1" ht="12.75">
      <c r="B150" s="3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</row>
    <row r="151" spans="2:19" s="1" customFormat="1" ht="12.75">
      <c r="B151" s="3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</row>
    <row r="152" spans="2:19" s="1" customFormat="1" ht="12.75">
      <c r="B152" s="3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</row>
    <row r="153" spans="2:19" s="1" customFormat="1" ht="12.75">
      <c r="B153" s="3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</row>
    <row r="154" spans="2:19" s="1" customFormat="1" ht="12.75">
      <c r="B154" s="3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</row>
    <row r="155" spans="3:19" ht="12.75"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</row>
    <row r="156" spans="4:19" ht="12.75">
      <c r="D156" s="1"/>
      <c r="E156" s="1"/>
      <c r="F156" s="1"/>
      <c r="G156" s="1"/>
      <c r="H156" s="1"/>
      <c r="I156" s="1"/>
      <c r="J156" s="1"/>
      <c r="K156" s="147"/>
      <c r="L156" s="147"/>
      <c r="M156" s="147"/>
      <c r="N156" s="147"/>
      <c r="O156" s="147"/>
      <c r="P156" s="147"/>
      <c r="Q156" s="147"/>
      <c r="R156" s="147"/>
      <c r="S156" s="147"/>
    </row>
    <row r="157" spans="4:19" ht="12.75">
      <c r="D157" s="1"/>
      <c r="E157" s="1"/>
      <c r="F157" s="1"/>
      <c r="G157" s="1"/>
      <c r="H157" s="1"/>
      <c r="I157" s="1"/>
      <c r="J157" s="1"/>
      <c r="K157" s="147"/>
      <c r="L157" s="147"/>
      <c r="M157" s="147"/>
      <c r="N157" s="147"/>
      <c r="O157" s="147"/>
      <c r="P157" s="147"/>
      <c r="Q157" s="147"/>
      <c r="R157" s="147"/>
      <c r="S157" s="147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  <row r="161" spans="4:10" ht="12.75">
      <c r="D161" s="1"/>
      <c r="E161" s="1"/>
      <c r="F161" s="1"/>
      <c r="G161" s="1"/>
      <c r="H161" s="1"/>
      <c r="I161" s="1"/>
      <c r="J161" s="1"/>
    </row>
    <row r="162" spans="4:10" ht="12.75">
      <c r="D162" s="1"/>
      <c r="E162" s="1"/>
      <c r="F162" s="1"/>
      <c r="G162" s="1"/>
      <c r="H162" s="1"/>
      <c r="I162" s="1"/>
      <c r="J162" s="1"/>
    </row>
    <row r="163" spans="4:10" ht="12.75">
      <c r="D163" s="1"/>
      <c r="E163" s="1"/>
      <c r="F163" s="1"/>
      <c r="G163" s="1"/>
      <c r="H163" s="1"/>
      <c r="I163" s="1"/>
      <c r="J163" s="1"/>
    </row>
    <row r="164" spans="4:10" ht="12.75">
      <c r="D164" s="1"/>
      <c r="E164" s="1"/>
      <c r="F164" s="1"/>
      <c r="G164" s="1"/>
      <c r="H164" s="1"/>
      <c r="I164" s="1"/>
      <c r="J164" s="1"/>
    </row>
    <row r="165" spans="4:10" ht="12.75">
      <c r="D165" s="1"/>
      <c r="E165" s="1"/>
      <c r="F165" s="1"/>
      <c r="G165" s="1"/>
      <c r="H165" s="1"/>
      <c r="I165" s="1"/>
      <c r="J165" s="1"/>
    </row>
    <row r="166" spans="4:10" ht="12.75">
      <c r="D166" s="1"/>
      <c r="E166" s="1"/>
      <c r="F166" s="1"/>
      <c r="G166" s="1"/>
      <c r="H166" s="1"/>
      <c r="I166" s="1"/>
      <c r="J166" s="1"/>
    </row>
    <row r="167" spans="4:10" ht="12.75">
      <c r="D167" s="1"/>
      <c r="E167" s="1"/>
      <c r="F167" s="1"/>
      <c r="G167" s="1"/>
      <c r="H167" s="1"/>
      <c r="I167" s="1"/>
      <c r="J167" s="1"/>
    </row>
    <row r="168" spans="4:10" ht="12.75">
      <c r="D168" s="1"/>
      <c r="E168" s="1"/>
      <c r="F168" s="1"/>
      <c r="G168" s="1"/>
      <c r="H168" s="1"/>
      <c r="I168" s="1"/>
      <c r="J168" s="1"/>
    </row>
    <row r="169" spans="4:10" ht="12.75">
      <c r="D169" s="1"/>
      <c r="E169" s="1"/>
      <c r="F169" s="1"/>
      <c r="G169" s="1"/>
      <c r="H169" s="1"/>
      <c r="I169" s="1"/>
      <c r="J169" s="1"/>
    </row>
    <row r="170" spans="4:10" ht="12.75">
      <c r="D170" s="1"/>
      <c r="E170" s="1"/>
      <c r="F170" s="1"/>
      <c r="G170" s="1"/>
      <c r="H170" s="1"/>
      <c r="I170" s="1"/>
      <c r="J170" s="1"/>
    </row>
    <row r="171" spans="4:10" ht="12.75">
      <c r="D171" s="1"/>
      <c r="E171" s="1"/>
      <c r="F171" s="1"/>
      <c r="G171" s="1"/>
      <c r="H171" s="1"/>
      <c r="I171" s="1"/>
      <c r="J171" s="1"/>
    </row>
    <row r="172" spans="4:10" ht="12.75">
      <c r="D172" s="1"/>
      <c r="E172" s="1"/>
      <c r="F172" s="1"/>
      <c r="G172" s="1"/>
      <c r="H172" s="1"/>
      <c r="I172" s="1"/>
      <c r="J172" s="1"/>
    </row>
    <row r="173" spans="4:10" ht="12.75">
      <c r="D173" s="1"/>
      <c r="E173" s="1"/>
      <c r="F173" s="1"/>
      <c r="G173" s="1"/>
      <c r="H173" s="1"/>
      <c r="I173" s="1"/>
      <c r="J173" s="1"/>
    </row>
  </sheetData>
  <sheetProtection sheet="1" objects="1" scenarios="1" selectLockedCells="1"/>
  <mergeCells count="101">
    <mergeCell ref="C31:C32"/>
    <mergeCell ref="C37:C38"/>
    <mergeCell ref="H67:J69"/>
    <mergeCell ref="G67:G69"/>
    <mergeCell ref="F67:F69"/>
    <mergeCell ref="E67:E69"/>
    <mergeCell ref="H31:J31"/>
    <mergeCell ref="H50:J50"/>
    <mergeCell ref="D67:D69"/>
    <mergeCell ref="H36:J36"/>
    <mergeCell ref="H28:J28"/>
    <mergeCell ref="H30:J30"/>
    <mergeCell ref="H25:J25"/>
    <mergeCell ref="H26:J26"/>
    <mergeCell ref="H27:J27"/>
    <mergeCell ref="C29:C30"/>
    <mergeCell ref="C18:C23"/>
    <mergeCell ref="H17:J17"/>
    <mergeCell ref="H20:J20"/>
    <mergeCell ref="D29:E29"/>
    <mergeCell ref="H23:J23"/>
    <mergeCell ref="D24:E24"/>
    <mergeCell ref="D27:E27"/>
    <mergeCell ref="H19:J19"/>
    <mergeCell ref="H21:J21"/>
    <mergeCell ref="I9:I11"/>
    <mergeCell ref="C9:H9"/>
    <mergeCell ref="C11:H11"/>
    <mergeCell ref="C10:H10"/>
    <mergeCell ref="AZ51:BF51"/>
    <mergeCell ref="AZ52:BE52"/>
    <mergeCell ref="D56:D58"/>
    <mergeCell ref="D53:D55"/>
    <mergeCell ref="H51:J51"/>
    <mergeCell ref="H52:J52"/>
    <mergeCell ref="H55:J55"/>
    <mergeCell ref="H54:J54"/>
    <mergeCell ref="H56:J56"/>
    <mergeCell ref="H57:J57"/>
    <mergeCell ref="D59:E59"/>
    <mergeCell ref="D63:E63"/>
    <mergeCell ref="H37:J37"/>
    <mergeCell ref="H49:J49"/>
    <mergeCell ref="H46:J46"/>
    <mergeCell ref="H47:J47"/>
    <mergeCell ref="H45:J45"/>
    <mergeCell ref="H18:J18"/>
    <mergeCell ref="H22:J22"/>
    <mergeCell ref="H16:J16"/>
    <mergeCell ref="C59:C69"/>
    <mergeCell ref="D64:D66"/>
    <mergeCell ref="H64:J64"/>
    <mergeCell ref="H65:J65"/>
    <mergeCell ref="H66:J66"/>
    <mergeCell ref="H63:J63"/>
    <mergeCell ref="H59:J59"/>
    <mergeCell ref="H12:J12"/>
    <mergeCell ref="H13:J13"/>
    <mergeCell ref="H14:J14"/>
    <mergeCell ref="H15:J15"/>
    <mergeCell ref="C42:C58"/>
    <mergeCell ref="D33:E33"/>
    <mergeCell ref="D43:D45"/>
    <mergeCell ref="D50:D52"/>
    <mergeCell ref="C33:C36"/>
    <mergeCell ref="D46:D49"/>
    <mergeCell ref="D37:E37"/>
    <mergeCell ref="D13:E13"/>
    <mergeCell ref="D19:E19"/>
    <mergeCell ref="D20:E20"/>
    <mergeCell ref="D21:E21"/>
    <mergeCell ref="C24:C28"/>
    <mergeCell ref="D31:E31"/>
    <mergeCell ref="C40:J41"/>
    <mergeCell ref="D18:E18"/>
    <mergeCell ref="D22:E22"/>
    <mergeCell ref="D25:E25"/>
    <mergeCell ref="D26:E26"/>
    <mergeCell ref="H32:J32"/>
    <mergeCell ref="H29:J29"/>
    <mergeCell ref="H24:J24"/>
    <mergeCell ref="H35:J35"/>
    <mergeCell ref="C7:J8"/>
    <mergeCell ref="D60:D62"/>
    <mergeCell ref="H60:J60"/>
    <mergeCell ref="H61:J61"/>
    <mergeCell ref="H62:J62"/>
    <mergeCell ref="H48:J48"/>
    <mergeCell ref="H58:J58"/>
    <mergeCell ref="H53:J53"/>
    <mergeCell ref="C12:C17"/>
    <mergeCell ref="C4:I5"/>
    <mergeCell ref="D12:E12"/>
    <mergeCell ref="D14:E14"/>
    <mergeCell ref="H44:J44"/>
    <mergeCell ref="H42:J42"/>
    <mergeCell ref="H43:J43"/>
    <mergeCell ref="D42:E42"/>
    <mergeCell ref="H34:J34"/>
    <mergeCell ref="H33:J33"/>
    <mergeCell ref="H38:J38"/>
  </mergeCells>
  <conditionalFormatting sqref="F30 F28 F23">
    <cfRule type="cellIs" priority="1" dxfId="0" operator="equal" stopIfTrue="1">
      <formula>$AS$35</formula>
    </cfRule>
  </conditionalFormatting>
  <conditionalFormatting sqref="D17">
    <cfRule type="expression" priority="2" dxfId="1" stopIfTrue="1">
      <formula>$D$17=EXCLUDE</formula>
    </cfRule>
  </conditionalFormatting>
  <conditionalFormatting sqref="F15:F17">
    <cfRule type="cellIs" priority="3" dxfId="0" operator="equal" stopIfTrue="1">
      <formula>$AS$25</formula>
    </cfRule>
  </conditionalFormatting>
  <dataValidations count="9">
    <dataValidation type="list" allowBlank="1" showInputMessage="1" showErrorMessage="1" sqref="F22">
      <formula1>INDIRECT(AS34)</formula1>
    </dataValidation>
    <dataValidation type="list" allowBlank="1" showInputMessage="1" showErrorMessage="1" sqref="F27">
      <formula1>INDIRECT(AS41)</formula1>
    </dataValidation>
    <dataValidation type="list" allowBlank="1" showInputMessage="1" showErrorMessage="1" sqref="D34:D36 D30 D28 D32 D15:D17 D23 D38:D39">
      <formula1>$AU$14:$AU$15</formula1>
    </dataValidation>
    <dataValidation type="list" allowBlank="1" showInputMessage="1" showErrorMessage="1" sqref="F26 F21">
      <formula1>$AS$29:$AS$30</formula1>
    </dataValidation>
    <dataValidation type="list" allowBlank="1" showInputMessage="1" showErrorMessage="1" sqref="F25">
      <formula1>$AW$14:$AW$15</formula1>
    </dataValidation>
    <dataValidation type="list" allowBlank="1" showInputMessage="1" showErrorMessage="1" sqref="F19">
      <formula1>$AT$29:$AT$30</formula1>
    </dataValidation>
    <dataValidation type="list" allowBlank="1" showInputMessage="1" showErrorMessage="1" sqref="F20">
      <formula1>$AR$29:$AR$30</formula1>
    </dataValidation>
    <dataValidation type="list" allowBlank="1" showInputMessage="1" showErrorMessage="1" sqref="F13">
      <formula1>$BE$14:$BE$15</formula1>
    </dataValidation>
    <dataValidation type="list" allowBlank="1" showInputMessage="1" showErrorMessage="1" sqref="F14">
      <formula1>INDIRECT($AR$17)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23"/>
  <sheetViews>
    <sheetView workbookViewId="0" topLeftCell="A1">
      <selection activeCell="I2" sqref="I2:I71"/>
    </sheetView>
  </sheetViews>
  <sheetFormatPr defaultColWidth="9.140625" defaultRowHeight="12.75"/>
  <cols>
    <col min="1" max="1" width="14.7109375" style="0" customWidth="1"/>
    <col min="2" max="2" width="19.8515625" style="0" customWidth="1"/>
    <col min="3" max="3" width="11.421875" style="0" customWidth="1"/>
    <col min="4" max="4" width="11.7109375" style="33" bestFit="1" customWidth="1"/>
    <col min="5" max="5" width="11.421875" style="33" bestFit="1" customWidth="1"/>
    <col min="6" max="6" width="9.140625" style="33" customWidth="1"/>
    <col min="7" max="7" width="11.421875" style="33" customWidth="1"/>
    <col min="8" max="12" width="12.00390625" style="33" customWidth="1"/>
    <col min="13" max="13" width="12.57421875" style="33" customWidth="1"/>
    <col min="14" max="14" width="11.140625" style="0" customWidth="1"/>
    <col min="16" max="16" width="10.421875" style="0" customWidth="1"/>
  </cols>
  <sheetData>
    <row r="1" spans="1:15" s="35" customFormat="1" ht="26.25" thickBot="1">
      <c r="A1" s="47" t="s">
        <v>72</v>
      </c>
      <c r="B1" s="48" t="s">
        <v>73</v>
      </c>
      <c r="C1" s="49" t="s">
        <v>101</v>
      </c>
      <c r="D1" s="48" t="s">
        <v>75</v>
      </c>
      <c r="E1" s="47" t="s">
        <v>76</v>
      </c>
      <c r="F1" s="48" t="s">
        <v>77</v>
      </c>
      <c r="G1" s="47" t="s">
        <v>78</v>
      </c>
      <c r="H1" s="48" t="s">
        <v>79</v>
      </c>
      <c r="I1" s="49" t="s">
        <v>66</v>
      </c>
      <c r="K1" s="50" t="s">
        <v>80</v>
      </c>
      <c r="L1" s="51"/>
      <c r="M1" s="51"/>
      <c r="N1" s="51"/>
      <c r="O1" s="51"/>
    </row>
    <row r="2" spans="1:15" ht="12.75">
      <c r="A2" t="s">
        <v>81</v>
      </c>
      <c r="B2" t="s">
        <v>38</v>
      </c>
      <c r="C2" s="33">
        <v>16</v>
      </c>
      <c r="D2" s="52">
        <v>1.85</v>
      </c>
      <c r="E2" s="53">
        <v>70</v>
      </c>
      <c r="F2" s="54">
        <f aca="true" t="shared" si="0" ref="F2:F33">(D2*E2)-$K$2</f>
        <v>126.7508</v>
      </c>
      <c r="G2" s="55">
        <v>0.5656</v>
      </c>
      <c r="H2" s="54">
        <f aca="true" t="shared" si="1" ref="H2:H31">2000*(G2)^2/16</f>
        <v>39.987919999999995</v>
      </c>
      <c r="I2" s="56">
        <f aca="true" t="shared" si="2" ref="I2:I33">H2/F2</f>
        <v>0.31548455709944234</v>
      </c>
      <c r="J2" s="52"/>
      <c r="K2" s="57">
        <f>3.33*1.74-1.75*1.74</f>
        <v>2.7492</v>
      </c>
      <c r="L2"/>
      <c r="M2" s="57"/>
      <c r="N2" s="57"/>
      <c r="O2" s="57"/>
    </row>
    <row r="3" spans="1:15" ht="12.75">
      <c r="A3" t="s">
        <v>81</v>
      </c>
      <c r="B3" t="s">
        <v>38</v>
      </c>
      <c r="C3" s="33">
        <v>16</v>
      </c>
      <c r="D3" s="52">
        <v>1.84</v>
      </c>
      <c r="E3" s="53">
        <v>63.47</v>
      </c>
      <c r="F3" s="54">
        <f t="shared" si="0"/>
        <v>114.0356</v>
      </c>
      <c r="G3" s="55">
        <v>0.51611</v>
      </c>
      <c r="H3" s="54">
        <f t="shared" si="1"/>
        <v>33.296191512499995</v>
      </c>
      <c r="I3" s="56">
        <f t="shared" si="2"/>
        <v>0.29198067544258105</v>
      </c>
      <c r="J3" s="52"/>
      <c r="K3" s="58" t="s">
        <v>82</v>
      </c>
      <c r="L3" s="52"/>
      <c r="M3" s="57"/>
      <c r="N3" s="57"/>
      <c r="O3" s="57"/>
    </row>
    <row r="4" spans="1:15" ht="13.5" thickBot="1">
      <c r="A4" t="s">
        <v>83</v>
      </c>
      <c r="B4" t="s">
        <v>38</v>
      </c>
      <c r="C4" s="33">
        <v>16</v>
      </c>
      <c r="D4" s="52">
        <v>1.81</v>
      </c>
      <c r="E4" s="53">
        <v>39.7</v>
      </c>
      <c r="F4" s="54">
        <f t="shared" si="0"/>
        <v>69.10780000000001</v>
      </c>
      <c r="G4" s="55">
        <v>0.5656</v>
      </c>
      <c r="H4" s="54">
        <f t="shared" si="1"/>
        <v>39.987919999999995</v>
      </c>
      <c r="I4" s="56">
        <f t="shared" si="2"/>
        <v>0.5786310662472252</v>
      </c>
      <c r="J4" s="52"/>
      <c r="K4" s="57"/>
      <c r="L4" s="57"/>
      <c r="M4" s="57"/>
      <c r="N4" s="57"/>
      <c r="O4" s="57"/>
    </row>
    <row r="5" spans="1:15" ht="13.5" thickBot="1">
      <c r="A5" t="s">
        <v>81</v>
      </c>
      <c r="B5" t="s">
        <v>38</v>
      </c>
      <c r="C5" s="33">
        <v>16</v>
      </c>
      <c r="D5" s="52">
        <v>1.83</v>
      </c>
      <c r="E5" s="53">
        <v>56.37</v>
      </c>
      <c r="F5" s="54">
        <f t="shared" si="0"/>
        <v>100.4079</v>
      </c>
      <c r="G5" s="55">
        <v>0.45955</v>
      </c>
      <c r="H5" s="54">
        <f t="shared" si="1"/>
        <v>26.3982753125</v>
      </c>
      <c r="I5" s="56">
        <f t="shared" si="2"/>
        <v>0.26291034184063206</v>
      </c>
      <c r="J5" s="52"/>
      <c r="K5" s="57"/>
      <c r="L5" s="69"/>
      <c r="M5" s="57"/>
      <c r="N5" s="33"/>
      <c r="O5" s="57"/>
    </row>
    <row r="6" spans="1:13" ht="12.75">
      <c r="A6" t="s">
        <v>83</v>
      </c>
      <c r="B6" t="s">
        <v>38</v>
      </c>
      <c r="C6" s="33">
        <v>16</v>
      </c>
      <c r="D6" s="52">
        <v>1.8</v>
      </c>
      <c r="E6" s="53">
        <v>33.33</v>
      </c>
      <c r="F6" s="54">
        <f t="shared" si="0"/>
        <v>57.2448</v>
      </c>
      <c r="G6" s="55">
        <v>0.5090399999999999</v>
      </c>
      <c r="H6" s="54">
        <f t="shared" si="1"/>
        <v>32.390215199999986</v>
      </c>
      <c r="I6" s="56">
        <f t="shared" si="2"/>
        <v>0.5658193442897868</v>
      </c>
      <c r="J6" s="52"/>
      <c r="K6"/>
      <c r="L6"/>
      <c r="M6"/>
    </row>
    <row r="7" spans="1:13" ht="12.75">
      <c r="A7" t="s">
        <v>83</v>
      </c>
      <c r="B7" t="s">
        <v>38</v>
      </c>
      <c r="C7" s="33">
        <v>16</v>
      </c>
      <c r="D7" s="52">
        <v>1.79</v>
      </c>
      <c r="E7" s="53">
        <v>29.75</v>
      </c>
      <c r="F7" s="54">
        <f t="shared" si="0"/>
        <v>50.503299999999996</v>
      </c>
      <c r="G7" s="55">
        <v>0.45248</v>
      </c>
      <c r="H7" s="54">
        <f t="shared" si="1"/>
        <v>25.5922688</v>
      </c>
      <c r="I7" s="56">
        <f t="shared" si="2"/>
        <v>0.5067444860038849</v>
      </c>
      <c r="J7" s="52"/>
      <c r="K7"/>
      <c r="L7"/>
      <c r="M7"/>
    </row>
    <row r="8" spans="1:13" ht="12.75">
      <c r="A8" t="s">
        <v>81</v>
      </c>
      <c r="B8" t="s">
        <v>38</v>
      </c>
      <c r="C8" s="33">
        <v>16</v>
      </c>
      <c r="D8" s="52">
        <v>1.8</v>
      </c>
      <c r="E8" s="53">
        <v>43.47</v>
      </c>
      <c r="F8" s="54">
        <f t="shared" si="0"/>
        <v>75.4968</v>
      </c>
      <c r="G8" s="55">
        <v>0.33936</v>
      </c>
      <c r="H8" s="54">
        <f t="shared" si="1"/>
        <v>14.3956512</v>
      </c>
      <c r="I8" s="56">
        <f t="shared" si="2"/>
        <v>0.19067895857837686</v>
      </c>
      <c r="J8" s="52"/>
      <c r="K8"/>
      <c r="L8"/>
      <c r="M8"/>
    </row>
    <row r="9" spans="1:13" ht="12.75">
      <c r="A9" t="s">
        <v>83</v>
      </c>
      <c r="B9" t="s">
        <v>38</v>
      </c>
      <c r="C9" s="33">
        <v>16</v>
      </c>
      <c r="D9" s="52">
        <v>1.79</v>
      </c>
      <c r="E9" s="53">
        <v>27</v>
      </c>
      <c r="F9" s="54">
        <f t="shared" si="0"/>
        <v>45.580799999999996</v>
      </c>
      <c r="G9" s="55">
        <v>0.4100599999999999</v>
      </c>
      <c r="H9" s="54">
        <f t="shared" si="1"/>
        <v>21.018650449999992</v>
      </c>
      <c r="I9" s="56">
        <f t="shared" si="2"/>
        <v>0.46112947666561344</v>
      </c>
      <c r="J9" s="52"/>
      <c r="K9"/>
      <c r="L9"/>
      <c r="M9"/>
    </row>
    <row r="10" spans="1:13" ht="12.75">
      <c r="A10" t="s">
        <v>81</v>
      </c>
      <c r="B10" t="s">
        <v>38</v>
      </c>
      <c r="C10" s="33">
        <v>16</v>
      </c>
      <c r="D10" s="52">
        <v>1.79</v>
      </c>
      <c r="E10" s="53">
        <v>35.11</v>
      </c>
      <c r="F10" s="54">
        <f t="shared" si="0"/>
        <v>60.097699999999996</v>
      </c>
      <c r="G10" s="55">
        <v>0.2828</v>
      </c>
      <c r="H10" s="54">
        <f t="shared" si="1"/>
        <v>9.996979999999999</v>
      </c>
      <c r="I10" s="56">
        <f t="shared" si="2"/>
        <v>0.1663454674638131</v>
      </c>
      <c r="J10" s="52"/>
      <c r="K10"/>
      <c r="L10"/>
      <c r="M10"/>
    </row>
    <row r="11" spans="1:13" ht="12.75">
      <c r="A11" t="s">
        <v>83</v>
      </c>
      <c r="B11" t="s">
        <v>38</v>
      </c>
      <c r="C11" s="33">
        <v>16</v>
      </c>
      <c r="D11" s="52">
        <v>1.78</v>
      </c>
      <c r="E11" s="53">
        <v>23.2</v>
      </c>
      <c r="F11" s="54">
        <f t="shared" si="0"/>
        <v>38.5468</v>
      </c>
      <c r="G11" s="55">
        <v>0.33936</v>
      </c>
      <c r="H11" s="54">
        <f t="shared" si="1"/>
        <v>14.3956512</v>
      </c>
      <c r="I11" s="56">
        <f t="shared" si="2"/>
        <v>0.3734590471842021</v>
      </c>
      <c r="J11" s="52"/>
      <c r="K11"/>
      <c r="L11"/>
      <c r="M11"/>
    </row>
    <row r="12" spans="1:13" ht="12.75">
      <c r="A12" t="s">
        <v>81</v>
      </c>
      <c r="B12" t="s">
        <v>38</v>
      </c>
      <c r="C12" s="33">
        <v>16</v>
      </c>
      <c r="D12" s="52">
        <v>1.78</v>
      </c>
      <c r="E12" s="53">
        <v>28.4</v>
      </c>
      <c r="F12" s="54">
        <f t="shared" si="0"/>
        <v>47.8028</v>
      </c>
      <c r="G12" s="55">
        <v>0.23331</v>
      </c>
      <c r="H12" s="54">
        <f t="shared" si="1"/>
        <v>6.8041945125</v>
      </c>
      <c r="I12" s="56">
        <f t="shared" si="2"/>
        <v>0.14233882769419365</v>
      </c>
      <c r="J12" s="52"/>
      <c r="K12"/>
      <c r="L12"/>
      <c r="M12"/>
    </row>
    <row r="13" spans="1:13" ht="12.75">
      <c r="A13" t="s">
        <v>83</v>
      </c>
      <c r="B13" t="s">
        <v>38</v>
      </c>
      <c r="C13" s="33">
        <v>16</v>
      </c>
      <c r="D13" s="52">
        <v>1.77</v>
      </c>
      <c r="E13" s="53">
        <v>19</v>
      </c>
      <c r="F13" s="54">
        <f t="shared" si="0"/>
        <v>30.8808</v>
      </c>
      <c r="G13" s="55">
        <v>0.2828</v>
      </c>
      <c r="H13" s="54">
        <f t="shared" si="1"/>
        <v>9.996979999999999</v>
      </c>
      <c r="I13" s="56">
        <f t="shared" si="2"/>
        <v>0.32372801222766245</v>
      </c>
      <c r="J13"/>
      <c r="K13"/>
      <c r="L13"/>
      <c r="M13"/>
    </row>
    <row r="14" spans="1:13" ht="12.75">
      <c r="A14" t="s">
        <v>81</v>
      </c>
      <c r="B14" t="s">
        <v>38</v>
      </c>
      <c r="C14" s="33">
        <v>16</v>
      </c>
      <c r="D14" s="52">
        <v>1.77</v>
      </c>
      <c r="E14" s="53">
        <v>21</v>
      </c>
      <c r="F14" s="54">
        <f t="shared" si="0"/>
        <v>34.4208</v>
      </c>
      <c r="G14" s="55">
        <v>0.17675</v>
      </c>
      <c r="H14" s="54">
        <f t="shared" si="1"/>
        <v>3.9050703124999995</v>
      </c>
      <c r="I14" s="56">
        <f t="shared" si="2"/>
        <v>0.11345088761737088</v>
      </c>
      <c r="J14"/>
      <c r="K14"/>
      <c r="L14"/>
      <c r="M14"/>
    </row>
    <row r="15" spans="1:13" ht="13.5" customHeight="1">
      <c r="A15" t="s">
        <v>81</v>
      </c>
      <c r="B15" t="s">
        <v>38</v>
      </c>
      <c r="C15" s="33">
        <v>16</v>
      </c>
      <c r="D15" s="52">
        <v>1.76</v>
      </c>
      <c r="E15" s="53">
        <v>15.06</v>
      </c>
      <c r="F15" s="54">
        <f t="shared" si="0"/>
        <v>23.7564</v>
      </c>
      <c r="G15" s="55">
        <v>0.11312</v>
      </c>
      <c r="H15" s="54">
        <f t="shared" si="1"/>
        <v>1.5995168</v>
      </c>
      <c r="I15" s="56">
        <f t="shared" si="2"/>
        <v>0.06732993214460103</v>
      </c>
      <c r="J15"/>
      <c r="K15"/>
      <c r="L15"/>
      <c r="M15"/>
    </row>
    <row r="16" spans="1:13" ht="12.75">
      <c r="A16" t="s">
        <v>83</v>
      </c>
      <c r="B16" t="s">
        <v>38</v>
      </c>
      <c r="C16" s="33">
        <v>16</v>
      </c>
      <c r="D16" s="52">
        <v>1.77</v>
      </c>
      <c r="E16" s="53">
        <v>15.55</v>
      </c>
      <c r="F16" s="54">
        <f t="shared" si="0"/>
        <v>24.774300000000004</v>
      </c>
      <c r="G16" s="55">
        <v>0.22624</v>
      </c>
      <c r="H16" s="54">
        <f t="shared" si="1"/>
        <v>6.3980672</v>
      </c>
      <c r="I16" s="56">
        <f t="shared" si="2"/>
        <v>0.258254206980621</v>
      </c>
      <c r="J16"/>
      <c r="K16"/>
      <c r="L16"/>
      <c r="M16"/>
    </row>
    <row r="17" spans="1:13" ht="12.75">
      <c r="A17" t="s">
        <v>83</v>
      </c>
      <c r="B17" t="s">
        <v>38</v>
      </c>
      <c r="C17" s="33">
        <v>16</v>
      </c>
      <c r="D17" s="52">
        <v>1.76</v>
      </c>
      <c r="E17" s="53">
        <v>11.8</v>
      </c>
      <c r="F17" s="54">
        <f t="shared" si="0"/>
        <v>18.0188</v>
      </c>
      <c r="G17" s="55">
        <v>0.16968</v>
      </c>
      <c r="H17" s="54">
        <f t="shared" si="1"/>
        <v>3.5989128</v>
      </c>
      <c r="I17" s="56">
        <f t="shared" si="2"/>
        <v>0.19973099207494396</v>
      </c>
      <c r="J17"/>
      <c r="K17"/>
      <c r="L17"/>
      <c r="M17" s="52"/>
    </row>
    <row r="18" spans="1:13" ht="12.75">
      <c r="A18" t="s">
        <v>81</v>
      </c>
      <c r="B18" t="s">
        <v>38</v>
      </c>
      <c r="C18" s="33">
        <v>16</v>
      </c>
      <c r="D18" s="52">
        <v>1.75</v>
      </c>
      <c r="E18" s="53">
        <v>11.46</v>
      </c>
      <c r="F18" s="54">
        <f t="shared" si="0"/>
        <v>17.305799999999998</v>
      </c>
      <c r="G18" s="55">
        <v>0.07847699999999999</v>
      </c>
      <c r="H18" s="54">
        <f t="shared" si="1"/>
        <v>0.7698299411249998</v>
      </c>
      <c r="I18" s="56">
        <f t="shared" si="2"/>
        <v>0.044483926841001276</v>
      </c>
      <c r="J18"/>
      <c r="K18"/>
      <c r="L18"/>
      <c r="M18" s="52"/>
    </row>
    <row r="19" spans="1:13" ht="12.75">
      <c r="A19" t="s">
        <v>83</v>
      </c>
      <c r="B19" t="s">
        <v>38</v>
      </c>
      <c r="C19" s="33">
        <v>16</v>
      </c>
      <c r="D19" s="52">
        <v>1.75</v>
      </c>
      <c r="E19" s="53">
        <v>8.75</v>
      </c>
      <c r="F19" s="54">
        <f t="shared" si="0"/>
        <v>12.5633</v>
      </c>
      <c r="G19" s="55">
        <v>0.11312</v>
      </c>
      <c r="H19" s="54">
        <f t="shared" si="1"/>
        <v>1.5995168</v>
      </c>
      <c r="I19" s="56">
        <f t="shared" si="2"/>
        <v>0.1273166126734218</v>
      </c>
      <c r="J19"/>
      <c r="K19"/>
      <c r="L19"/>
      <c r="M19" s="52"/>
    </row>
    <row r="20" spans="1:13" ht="12.75">
      <c r="A20" t="s">
        <v>81</v>
      </c>
      <c r="B20" t="s">
        <v>37</v>
      </c>
      <c r="C20" s="33">
        <v>16</v>
      </c>
      <c r="D20" s="52">
        <v>1.79</v>
      </c>
      <c r="E20" s="53">
        <v>30</v>
      </c>
      <c r="F20" s="54">
        <f t="shared" si="0"/>
        <v>50.9508</v>
      </c>
      <c r="G20" s="55">
        <v>0.288</v>
      </c>
      <c r="H20" s="54">
        <f t="shared" si="1"/>
        <v>10.367999999999999</v>
      </c>
      <c r="I20" s="56">
        <f t="shared" si="2"/>
        <v>0.20349042605807952</v>
      </c>
      <c r="J20"/>
      <c r="K20"/>
      <c r="L20"/>
      <c r="M20" s="52"/>
    </row>
    <row r="21" spans="1:13" ht="12.75">
      <c r="A21" t="s">
        <v>81</v>
      </c>
      <c r="B21" t="s">
        <v>38</v>
      </c>
      <c r="C21" s="33">
        <v>16</v>
      </c>
      <c r="D21" s="52">
        <v>1.75</v>
      </c>
      <c r="E21" s="53">
        <v>9</v>
      </c>
      <c r="F21" s="54">
        <f t="shared" si="0"/>
        <v>13.0008</v>
      </c>
      <c r="G21" s="55">
        <v>0.062215999999999994</v>
      </c>
      <c r="H21" s="54">
        <f t="shared" si="1"/>
        <v>0.4838538319999999</v>
      </c>
      <c r="I21" s="56">
        <f t="shared" si="2"/>
        <v>0.03721723524706171</v>
      </c>
      <c r="M21" s="52"/>
    </row>
    <row r="22" spans="1:13" ht="12.75">
      <c r="A22" t="s">
        <v>83</v>
      </c>
      <c r="B22" t="s">
        <v>38</v>
      </c>
      <c r="C22" s="33">
        <v>16</v>
      </c>
      <c r="D22" s="52">
        <v>1.75</v>
      </c>
      <c r="E22" s="53">
        <v>7</v>
      </c>
      <c r="F22" s="54">
        <f t="shared" si="0"/>
        <v>9.5008</v>
      </c>
      <c r="G22" s="55">
        <v>0.07847699999999999</v>
      </c>
      <c r="H22" s="54">
        <f t="shared" si="1"/>
        <v>0.7698299411249998</v>
      </c>
      <c r="I22" s="56">
        <f t="shared" si="2"/>
        <v>0.0810279072420217</v>
      </c>
      <c r="M22" s="52"/>
    </row>
    <row r="23" spans="1:13" ht="12.75">
      <c r="A23" t="s">
        <v>81</v>
      </c>
      <c r="B23" t="s">
        <v>37</v>
      </c>
      <c r="C23" s="33">
        <v>16</v>
      </c>
      <c r="D23" s="52">
        <v>1.78</v>
      </c>
      <c r="E23" s="53">
        <v>26</v>
      </c>
      <c r="F23" s="54">
        <f t="shared" si="0"/>
        <v>43.5308</v>
      </c>
      <c r="G23" s="55">
        <v>0.23</v>
      </c>
      <c r="H23" s="54">
        <f t="shared" si="1"/>
        <v>6.612500000000001</v>
      </c>
      <c r="I23" s="56">
        <f t="shared" si="2"/>
        <v>0.15190393927977433</v>
      </c>
      <c r="M23" s="52"/>
    </row>
    <row r="24" spans="1:13" ht="12.75">
      <c r="A24" t="s">
        <v>83</v>
      </c>
      <c r="B24" t="s">
        <v>37</v>
      </c>
      <c r="C24" s="33">
        <v>16</v>
      </c>
      <c r="D24" s="52">
        <v>1.77</v>
      </c>
      <c r="E24" s="53">
        <v>16</v>
      </c>
      <c r="F24" s="54">
        <f t="shared" si="0"/>
        <v>25.5708</v>
      </c>
      <c r="G24" s="55">
        <v>0.236</v>
      </c>
      <c r="H24" s="54">
        <f t="shared" si="1"/>
        <v>6.962</v>
      </c>
      <c r="I24" s="56">
        <f t="shared" si="2"/>
        <v>0.27226367575515825</v>
      </c>
      <c r="M24" s="52"/>
    </row>
    <row r="25" spans="1:13" ht="12.75">
      <c r="A25" t="s">
        <v>81</v>
      </c>
      <c r="B25" t="s">
        <v>38</v>
      </c>
      <c r="C25" s="33">
        <v>16</v>
      </c>
      <c r="D25" s="52">
        <v>1.74</v>
      </c>
      <c r="E25" s="53">
        <v>4.96</v>
      </c>
      <c r="F25" s="54">
        <f t="shared" si="0"/>
        <v>5.8812</v>
      </c>
      <c r="G25" s="55">
        <v>0.027572999999999997</v>
      </c>
      <c r="H25" s="54">
        <f t="shared" si="1"/>
        <v>0.09503379112499998</v>
      </c>
      <c r="I25" s="56">
        <f t="shared" si="2"/>
        <v>0.016158911637931032</v>
      </c>
      <c r="M25" s="52"/>
    </row>
    <row r="26" spans="1:13" ht="12.75">
      <c r="A26" t="s">
        <v>81</v>
      </c>
      <c r="B26" t="s">
        <v>37</v>
      </c>
      <c r="C26" s="33">
        <v>16</v>
      </c>
      <c r="D26" s="52">
        <v>1.77</v>
      </c>
      <c r="E26" s="53">
        <v>22</v>
      </c>
      <c r="F26" s="54">
        <f t="shared" si="0"/>
        <v>36.190799999999996</v>
      </c>
      <c r="G26" s="55">
        <v>0.205</v>
      </c>
      <c r="H26" s="54">
        <f t="shared" si="1"/>
        <v>5.253124999999999</v>
      </c>
      <c r="I26" s="56">
        <f t="shared" si="2"/>
        <v>0.14515083943985763</v>
      </c>
      <c r="M26" s="52"/>
    </row>
    <row r="27" spans="1:13" ht="12.75">
      <c r="A27" t="s">
        <v>83</v>
      </c>
      <c r="B27" t="s">
        <v>37</v>
      </c>
      <c r="C27" s="33">
        <v>16</v>
      </c>
      <c r="D27" s="52">
        <v>1.76</v>
      </c>
      <c r="E27" s="53">
        <v>13.5</v>
      </c>
      <c r="F27" s="54">
        <f t="shared" si="0"/>
        <v>21.010800000000003</v>
      </c>
      <c r="G27" s="55">
        <v>0.186</v>
      </c>
      <c r="H27" s="54">
        <f t="shared" si="1"/>
        <v>4.3245000000000005</v>
      </c>
      <c r="I27" s="56">
        <f t="shared" si="2"/>
        <v>0.20582271974413158</v>
      </c>
      <c r="M27" s="52"/>
    </row>
    <row r="28" spans="1:13" ht="12.75">
      <c r="A28" t="s">
        <v>83</v>
      </c>
      <c r="B28" t="s">
        <v>38</v>
      </c>
      <c r="C28" s="33">
        <v>16</v>
      </c>
      <c r="D28" s="52">
        <v>1.74</v>
      </c>
      <c r="E28" s="53">
        <v>3.65</v>
      </c>
      <c r="F28" s="54">
        <f t="shared" si="0"/>
        <v>3.6018</v>
      </c>
      <c r="G28" s="55">
        <v>0.027572999999999997</v>
      </c>
      <c r="H28" s="54">
        <f t="shared" si="1"/>
        <v>0.09503379112499998</v>
      </c>
      <c r="I28" s="56">
        <f t="shared" si="2"/>
        <v>0.026385082771114437</v>
      </c>
      <c r="M28" s="52"/>
    </row>
    <row r="29" spans="1:13" ht="12.75">
      <c r="A29" t="s">
        <v>81</v>
      </c>
      <c r="B29" t="s">
        <v>37</v>
      </c>
      <c r="C29" s="33">
        <v>16</v>
      </c>
      <c r="D29" s="52">
        <v>1.77</v>
      </c>
      <c r="E29" s="53">
        <v>19</v>
      </c>
      <c r="F29" s="54">
        <f t="shared" si="0"/>
        <v>30.8808</v>
      </c>
      <c r="G29" s="55">
        <v>0.166</v>
      </c>
      <c r="H29" s="54">
        <f t="shared" si="1"/>
        <v>3.4445000000000006</v>
      </c>
      <c r="I29" s="56">
        <f t="shared" si="2"/>
        <v>0.11154179943524781</v>
      </c>
      <c r="M29" s="52"/>
    </row>
    <row r="30" spans="1:13" ht="12.75">
      <c r="A30" t="s">
        <v>83</v>
      </c>
      <c r="B30" t="s">
        <v>37</v>
      </c>
      <c r="C30" s="33">
        <v>16</v>
      </c>
      <c r="D30" s="52">
        <v>1.75</v>
      </c>
      <c r="E30" s="53">
        <v>10.2</v>
      </c>
      <c r="F30" s="54">
        <f t="shared" si="0"/>
        <v>15.100799999999998</v>
      </c>
      <c r="G30" s="55">
        <v>0.133</v>
      </c>
      <c r="H30" s="54">
        <f t="shared" si="1"/>
        <v>2.2111250000000005</v>
      </c>
      <c r="I30" s="56">
        <f t="shared" si="2"/>
        <v>0.1464243616232253</v>
      </c>
      <c r="M30" s="52"/>
    </row>
    <row r="31" spans="1:13" ht="12.75">
      <c r="A31" t="s">
        <v>81</v>
      </c>
      <c r="B31" t="s">
        <v>37</v>
      </c>
      <c r="C31" s="33">
        <v>16</v>
      </c>
      <c r="D31" s="52">
        <v>1.76</v>
      </c>
      <c r="E31" s="53">
        <v>14</v>
      </c>
      <c r="F31" s="54">
        <f t="shared" si="0"/>
        <v>21.8908</v>
      </c>
      <c r="G31" s="55">
        <v>0.118</v>
      </c>
      <c r="H31" s="54">
        <f t="shared" si="1"/>
        <v>1.7405</v>
      </c>
      <c r="I31" s="56">
        <f t="shared" si="2"/>
        <v>0.07950828658614578</v>
      </c>
      <c r="M31" s="52"/>
    </row>
    <row r="32" spans="1:13" ht="12.75">
      <c r="A32" t="s">
        <v>81</v>
      </c>
      <c r="B32" t="s">
        <v>38</v>
      </c>
      <c r="C32" s="33">
        <v>32</v>
      </c>
      <c r="D32" s="52">
        <v>1.82</v>
      </c>
      <c r="E32" s="53">
        <v>54.77</v>
      </c>
      <c r="F32" s="54">
        <f t="shared" si="0"/>
        <v>96.93220000000001</v>
      </c>
      <c r="G32" s="59">
        <v>0.60802</v>
      </c>
      <c r="H32" s="54">
        <f>2000*(G32)^2/32</f>
        <v>23.105520025</v>
      </c>
      <c r="I32" s="56">
        <f t="shared" si="2"/>
        <v>0.23836784912547118</v>
      </c>
      <c r="M32" s="52"/>
    </row>
    <row r="33" spans="1:13" ht="12.75">
      <c r="A33" t="s">
        <v>81</v>
      </c>
      <c r="B33" t="s">
        <v>37</v>
      </c>
      <c r="C33" s="33">
        <v>16</v>
      </c>
      <c r="D33" s="52">
        <v>1.75</v>
      </c>
      <c r="E33" s="53">
        <v>10</v>
      </c>
      <c r="F33" s="54">
        <f t="shared" si="0"/>
        <v>14.7508</v>
      </c>
      <c r="G33" s="55">
        <v>0.077</v>
      </c>
      <c r="H33" s="54">
        <f>2000*(G33)^2/16</f>
        <v>0.741125</v>
      </c>
      <c r="I33" s="56">
        <f t="shared" si="2"/>
        <v>0.05024303766575373</v>
      </c>
      <c r="M33" s="52"/>
    </row>
    <row r="34" spans="1:13" ht="12.75">
      <c r="A34" t="s">
        <v>83</v>
      </c>
      <c r="B34" t="s">
        <v>37</v>
      </c>
      <c r="C34" s="33">
        <v>16</v>
      </c>
      <c r="D34" s="52">
        <v>1.75</v>
      </c>
      <c r="E34" s="53">
        <v>8.5</v>
      </c>
      <c r="F34" s="54">
        <f aca="true" t="shared" si="3" ref="F34:F65">(D34*E34)-$K$2</f>
        <v>12.1258</v>
      </c>
      <c r="G34" s="55">
        <v>0.105</v>
      </c>
      <c r="H34" s="54">
        <f>2000*(G34)^2/16</f>
        <v>1.3781249999999998</v>
      </c>
      <c r="I34" s="56">
        <f aca="true" t="shared" si="4" ref="I34:I65">H34/F34</f>
        <v>0.11365229510630225</v>
      </c>
      <c r="M34" s="52"/>
    </row>
    <row r="35" spans="1:13" ht="12.75">
      <c r="A35" t="s">
        <v>83</v>
      </c>
      <c r="B35" t="s">
        <v>38</v>
      </c>
      <c r="C35" s="33">
        <v>32</v>
      </c>
      <c r="D35" s="52">
        <v>1.78</v>
      </c>
      <c r="E35" s="53">
        <v>26.3</v>
      </c>
      <c r="F35" s="54">
        <f t="shared" si="3"/>
        <v>44.0648</v>
      </c>
      <c r="G35" s="59">
        <v>0.59388</v>
      </c>
      <c r="H35" s="54">
        <f>2000*(G35)^2/32</f>
        <v>22.043340899999997</v>
      </c>
      <c r="I35" s="56">
        <f t="shared" si="4"/>
        <v>0.5002482911530292</v>
      </c>
      <c r="M35"/>
    </row>
    <row r="36" spans="1:13" ht="12.75">
      <c r="A36" t="s">
        <v>83</v>
      </c>
      <c r="B36" t="s">
        <v>37</v>
      </c>
      <c r="C36" s="33">
        <v>16</v>
      </c>
      <c r="D36" s="52">
        <v>1.75</v>
      </c>
      <c r="E36" s="53">
        <v>6.2</v>
      </c>
      <c r="F36" s="54">
        <f t="shared" si="3"/>
        <v>8.1008</v>
      </c>
      <c r="G36" s="55">
        <v>0.064</v>
      </c>
      <c r="H36" s="54">
        <f>2000*(G36)^2/16</f>
        <v>0.512</v>
      </c>
      <c r="I36" s="56">
        <f t="shared" si="4"/>
        <v>0.06320363420896702</v>
      </c>
      <c r="M36"/>
    </row>
    <row r="37" spans="1:13" ht="12.75">
      <c r="A37" t="s">
        <v>81</v>
      </c>
      <c r="B37" t="s">
        <v>38</v>
      </c>
      <c r="C37" s="33">
        <v>32</v>
      </c>
      <c r="D37" s="52">
        <v>1.81</v>
      </c>
      <c r="E37" s="53">
        <v>45.5</v>
      </c>
      <c r="F37" s="54">
        <f t="shared" si="3"/>
        <v>79.6058</v>
      </c>
      <c r="G37" s="55">
        <v>0.5868099999999999</v>
      </c>
      <c r="H37" s="54">
        <f>2000*(G37)^2/32</f>
        <v>21.52162350625</v>
      </c>
      <c r="I37" s="56">
        <f t="shared" si="4"/>
        <v>0.2703524555528617</v>
      </c>
      <c r="M37"/>
    </row>
    <row r="38" spans="1:13" ht="12.75">
      <c r="A38" t="s">
        <v>81</v>
      </c>
      <c r="B38" t="s">
        <v>37</v>
      </c>
      <c r="C38" s="33">
        <v>16</v>
      </c>
      <c r="D38" s="52">
        <v>1.75</v>
      </c>
      <c r="E38" s="53">
        <v>6</v>
      </c>
      <c r="F38" s="54">
        <f t="shared" si="3"/>
        <v>7.7508</v>
      </c>
      <c r="G38" s="55">
        <v>0.032</v>
      </c>
      <c r="H38" s="54">
        <f>2000*(G38)^2/16</f>
        <v>0.128</v>
      </c>
      <c r="I38" s="56">
        <f t="shared" si="4"/>
        <v>0.01651442431748981</v>
      </c>
      <c r="M38"/>
    </row>
    <row r="39" spans="1:13" ht="12.75">
      <c r="A39" t="s">
        <v>83</v>
      </c>
      <c r="B39" t="s">
        <v>37</v>
      </c>
      <c r="C39" s="33">
        <v>16</v>
      </c>
      <c r="D39" s="52">
        <v>1.74</v>
      </c>
      <c r="E39" s="53">
        <v>4.9</v>
      </c>
      <c r="F39" s="54">
        <f t="shared" si="3"/>
        <v>5.7768</v>
      </c>
      <c r="G39" s="55">
        <v>0.04</v>
      </c>
      <c r="H39" s="54">
        <f>2000*(G39)^2/16</f>
        <v>0.2</v>
      </c>
      <c r="I39" s="56">
        <f t="shared" si="4"/>
        <v>0.03462124359506994</v>
      </c>
      <c r="M39"/>
    </row>
    <row r="40" spans="1:13" ht="12.75">
      <c r="A40" t="s">
        <v>81</v>
      </c>
      <c r="B40" t="s">
        <v>38</v>
      </c>
      <c r="C40" s="33">
        <v>32</v>
      </c>
      <c r="D40" s="52">
        <v>1.79</v>
      </c>
      <c r="E40" s="53">
        <v>36.7</v>
      </c>
      <c r="F40" s="54">
        <f t="shared" si="3"/>
        <v>62.94380000000001</v>
      </c>
      <c r="G40" s="55">
        <v>0.46662</v>
      </c>
      <c r="H40" s="54">
        <f>2000*(G40)^2/32</f>
        <v>13.608389025</v>
      </c>
      <c r="I40" s="56">
        <f t="shared" si="4"/>
        <v>0.216199038269059</v>
      </c>
      <c r="M40"/>
    </row>
    <row r="41" spans="1:13" ht="12.75">
      <c r="A41" t="s">
        <v>83</v>
      </c>
      <c r="B41" t="s">
        <v>38</v>
      </c>
      <c r="C41" s="33">
        <v>32</v>
      </c>
      <c r="D41" s="52">
        <v>1.77</v>
      </c>
      <c r="E41" s="53">
        <v>22</v>
      </c>
      <c r="F41" s="54">
        <f t="shared" si="3"/>
        <v>36.190799999999996</v>
      </c>
      <c r="G41" s="55">
        <v>0.52318</v>
      </c>
      <c r="H41" s="54">
        <f>2000*(G41)^2/32</f>
        <v>17.107332024999998</v>
      </c>
      <c r="I41" s="56">
        <f t="shared" si="4"/>
        <v>0.47269836602119875</v>
      </c>
      <c r="M41"/>
    </row>
    <row r="42" spans="1:13" ht="12.75">
      <c r="A42" t="s">
        <v>83</v>
      </c>
      <c r="B42" t="s">
        <v>37</v>
      </c>
      <c r="C42" s="33">
        <v>16</v>
      </c>
      <c r="D42" s="52">
        <v>1.74</v>
      </c>
      <c r="E42" s="53">
        <v>3.15</v>
      </c>
      <c r="F42" s="54">
        <f t="shared" si="3"/>
        <v>2.7318</v>
      </c>
      <c r="G42" s="55">
        <v>0.0099</v>
      </c>
      <c r="H42" s="54">
        <f>2000*(G42)^2/16</f>
        <v>0.012251250000000002</v>
      </c>
      <c r="I42" s="56">
        <f t="shared" si="4"/>
        <v>0.004484680430485395</v>
      </c>
      <c r="M42"/>
    </row>
    <row r="43" spans="1:13" ht="12.75">
      <c r="A43" t="s">
        <v>83</v>
      </c>
      <c r="B43" t="s">
        <v>38</v>
      </c>
      <c r="C43" s="33">
        <v>32</v>
      </c>
      <c r="D43" s="52">
        <v>1.76</v>
      </c>
      <c r="E43" s="53">
        <v>18</v>
      </c>
      <c r="F43" s="54">
        <f t="shared" si="3"/>
        <v>28.930799999999998</v>
      </c>
      <c r="G43" s="55">
        <v>0.4100599999999999</v>
      </c>
      <c r="H43" s="54">
        <f aca="true" t="shared" si="5" ref="H43:H71">2000*(G43)^2/32</f>
        <v>10.509325224999996</v>
      </c>
      <c r="I43" s="56">
        <f t="shared" si="4"/>
        <v>0.3632573321512021</v>
      </c>
      <c r="M43"/>
    </row>
    <row r="44" spans="1:13" ht="12.75">
      <c r="A44" t="s">
        <v>83</v>
      </c>
      <c r="B44" t="s">
        <v>37</v>
      </c>
      <c r="C44" s="33">
        <v>32</v>
      </c>
      <c r="D44" s="52">
        <v>1.74</v>
      </c>
      <c r="E44" s="53">
        <v>11.5</v>
      </c>
      <c r="F44" s="54">
        <f t="shared" si="3"/>
        <v>17.260800000000003</v>
      </c>
      <c r="G44" s="55">
        <v>0.255</v>
      </c>
      <c r="H44" s="54">
        <f t="shared" si="5"/>
        <v>4.0640625</v>
      </c>
      <c r="I44" s="56">
        <f t="shared" si="4"/>
        <v>0.23545041365406005</v>
      </c>
      <c r="M44"/>
    </row>
    <row r="45" spans="1:13" ht="12.75">
      <c r="A45" t="s">
        <v>81</v>
      </c>
      <c r="B45" t="s">
        <v>38</v>
      </c>
      <c r="C45" s="33">
        <v>32</v>
      </c>
      <c r="D45" s="52">
        <v>1.78</v>
      </c>
      <c r="E45" s="53">
        <v>28.6</v>
      </c>
      <c r="F45" s="54">
        <f t="shared" si="3"/>
        <v>48.1588</v>
      </c>
      <c r="G45" s="55">
        <v>0.3535</v>
      </c>
      <c r="H45" s="54">
        <f t="shared" si="5"/>
        <v>7.810140624999999</v>
      </c>
      <c r="I45" s="56">
        <f t="shared" si="4"/>
        <v>0.16217473493940876</v>
      </c>
      <c r="M45"/>
    </row>
    <row r="46" spans="1:13" ht="12.75">
      <c r="A46" t="s">
        <v>81</v>
      </c>
      <c r="B46" t="s">
        <v>38</v>
      </c>
      <c r="C46" s="33">
        <v>32</v>
      </c>
      <c r="D46" s="52">
        <v>1.77</v>
      </c>
      <c r="E46" s="53">
        <v>21</v>
      </c>
      <c r="F46" s="54">
        <f t="shared" si="3"/>
        <v>34.4208</v>
      </c>
      <c r="G46" s="55">
        <v>0.24744999999999998</v>
      </c>
      <c r="H46" s="54">
        <f t="shared" si="5"/>
        <v>3.826968906249999</v>
      </c>
      <c r="I46" s="56">
        <f t="shared" si="4"/>
        <v>0.11118186986502344</v>
      </c>
      <c r="M46"/>
    </row>
    <row r="47" spans="1:13" ht="12.75">
      <c r="A47" t="s">
        <v>83</v>
      </c>
      <c r="B47" t="s">
        <v>38</v>
      </c>
      <c r="C47" s="33">
        <v>32</v>
      </c>
      <c r="D47" s="52">
        <v>1.76</v>
      </c>
      <c r="E47" s="53">
        <v>14.2</v>
      </c>
      <c r="F47" s="54">
        <f t="shared" si="3"/>
        <v>22.242799999999995</v>
      </c>
      <c r="G47" s="55">
        <v>0.32522</v>
      </c>
      <c r="H47" s="54">
        <f t="shared" si="5"/>
        <v>6.610503025000001</v>
      </c>
      <c r="I47" s="56">
        <f t="shared" si="4"/>
        <v>0.2971974313036129</v>
      </c>
      <c r="M47"/>
    </row>
    <row r="48" spans="1:13" ht="12.75">
      <c r="A48" t="s">
        <v>81</v>
      </c>
      <c r="B48" t="s">
        <v>37</v>
      </c>
      <c r="C48" s="33">
        <v>32</v>
      </c>
      <c r="D48" s="52">
        <v>1.75</v>
      </c>
      <c r="E48" s="53">
        <v>20.4</v>
      </c>
      <c r="F48" s="54">
        <f t="shared" si="3"/>
        <v>32.950799999999994</v>
      </c>
      <c r="G48" s="55">
        <v>0.294</v>
      </c>
      <c r="H48" s="54">
        <f t="shared" si="5"/>
        <v>5.402249999999999</v>
      </c>
      <c r="I48" s="56">
        <f t="shared" si="4"/>
        <v>0.16394897847700207</v>
      </c>
      <c r="M48"/>
    </row>
    <row r="49" spans="1:13" ht="12.75">
      <c r="A49" t="s">
        <v>83</v>
      </c>
      <c r="B49" t="s">
        <v>37</v>
      </c>
      <c r="C49" s="33">
        <v>32</v>
      </c>
      <c r="D49" s="52">
        <v>1.74</v>
      </c>
      <c r="E49" s="53">
        <v>8.3</v>
      </c>
      <c r="F49" s="54">
        <f t="shared" si="3"/>
        <v>11.692800000000002</v>
      </c>
      <c r="G49" s="55">
        <v>0.161</v>
      </c>
      <c r="H49" s="54">
        <f t="shared" si="5"/>
        <v>1.6200625000000002</v>
      </c>
      <c r="I49" s="56">
        <f t="shared" si="4"/>
        <v>0.1385521431992337</v>
      </c>
      <c r="M49" s="52"/>
    </row>
    <row r="50" spans="1:13" ht="12.75">
      <c r="A50" t="s">
        <v>81</v>
      </c>
      <c r="B50" t="s">
        <v>38</v>
      </c>
      <c r="C50" s="33">
        <v>32</v>
      </c>
      <c r="D50" s="52">
        <v>1.76</v>
      </c>
      <c r="E50" s="53">
        <v>17.3</v>
      </c>
      <c r="F50" s="54">
        <f t="shared" si="3"/>
        <v>27.6988</v>
      </c>
      <c r="G50" s="55">
        <v>0.21209999999999998</v>
      </c>
      <c r="H50" s="54">
        <f t="shared" si="5"/>
        <v>2.8116506249999995</v>
      </c>
      <c r="I50" s="56">
        <f t="shared" si="4"/>
        <v>0.10150803013126922</v>
      </c>
      <c r="M50" s="52"/>
    </row>
    <row r="51" spans="1:13" ht="12.75">
      <c r="A51" t="s">
        <v>83</v>
      </c>
      <c r="B51" t="s">
        <v>38</v>
      </c>
      <c r="C51" s="33">
        <v>32</v>
      </c>
      <c r="D51" s="52">
        <v>1.76</v>
      </c>
      <c r="E51" s="53">
        <v>11.77</v>
      </c>
      <c r="F51" s="54">
        <f t="shared" si="3"/>
        <v>17.966</v>
      </c>
      <c r="G51" s="55">
        <v>0.25451999999999997</v>
      </c>
      <c r="H51" s="54">
        <f t="shared" si="5"/>
        <v>4.048776899999998</v>
      </c>
      <c r="I51" s="56">
        <f t="shared" si="4"/>
        <v>0.22535772570410764</v>
      </c>
      <c r="M51" s="52"/>
    </row>
    <row r="52" spans="1:13" ht="12.75">
      <c r="A52" t="s">
        <v>81</v>
      </c>
      <c r="B52" t="s">
        <v>37</v>
      </c>
      <c r="C52" s="33">
        <v>32</v>
      </c>
      <c r="D52" s="52">
        <v>1.74</v>
      </c>
      <c r="E52" s="53">
        <v>15.5</v>
      </c>
      <c r="F52" s="54">
        <f t="shared" si="3"/>
        <v>24.220799999999997</v>
      </c>
      <c r="G52" s="55">
        <v>0.21</v>
      </c>
      <c r="H52" s="54">
        <f t="shared" si="5"/>
        <v>2.7562499999999996</v>
      </c>
      <c r="I52" s="56">
        <f t="shared" si="4"/>
        <v>0.1137968192627824</v>
      </c>
      <c r="M52" s="52"/>
    </row>
    <row r="53" spans="1:13" ht="12.75">
      <c r="A53" t="s">
        <v>81</v>
      </c>
      <c r="B53" t="s">
        <v>38</v>
      </c>
      <c r="C53" s="33">
        <v>32</v>
      </c>
      <c r="D53" s="52">
        <v>1.76</v>
      </c>
      <c r="E53" s="53">
        <v>14.3</v>
      </c>
      <c r="F53" s="54">
        <f t="shared" si="3"/>
        <v>22.418800000000005</v>
      </c>
      <c r="G53" s="55">
        <v>0.166145</v>
      </c>
      <c r="H53" s="54">
        <f t="shared" si="5"/>
        <v>1.7252600640624998</v>
      </c>
      <c r="I53" s="56">
        <f t="shared" si="4"/>
        <v>0.07695595054429762</v>
      </c>
      <c r="M53" s="52"/>
    </row>
    <row r="54" spans="1:13" ht="12.75">
      <c r="A54" t="s">
        <v>83</v>
      </c>
      <c r="B54" t="s">
        <v>38</v>
      </c>
      <c r="C54" s="33">
        <v>32</v>
      </c>
      <c r="D54" s="52">
        <v>1.75</v>
      </c>
      <c r="E54" s="53">
        <v>9.9</v>
      </c>
      <c r="F54" s="54">
        <f t="shared" si="3"/>
        <v>14.5758</v>
      </c>
      <c r="G54" s="55">
        <v>0.20502999999999996</v>
      </c>
      <c r="H54" s="54">
        <f t="shared" si="5"/>
        <v>2.627331306249999</v>
      </c>
      <c r="I54" s="56">
        <f t="shared" si="4"/>
        <v>0.18025297453656053</v>
      </c>
      <c r="M54" s="52"/>
    </row>
    <row r="55" spans="1:13" ht="12.75">
      <c r="A55" t="s">
        <v>81</v>
      </c>
      <c r="B55" t="s">
        <v>38</v>
      </c>
      <c r="C55" s="33">
        <v>32</v>
      </c>
      <c r="D55" s="52">
        <v>1.75</v>
      </c>
      <c r="E55" s="53">
        <v>11.5</v>
      </c>
      <c r="F55" s="54">
        <f t="shared" si="3"/>
        <v>17.375799999999998</v>
      </c>
      <c r="G55" s="55">
        <v>0.12725999999999998</v>
      </c>
      <c r="H55" s="54">
        <f t="shared" si="5"/>
        <v>1.0121942249999996</v>
      </c>
      <c r="I55" s="56">
        <f t="shared" si="4"/>
        <v>0.05825310057666408</v>
      </c>
      <c r="M55" s="52"/>
    </row>
    <row r="56" spans="1:13" ht="12.75">
      <c r="A56" t="s">
        <v>81</v>
      </c>
      <c r="B56" t="s">
        <v>37</v>
      </c>
      <c r="C56" s="33">
        <v>32</v>
      </c>
      <c r="D56" s="52">
        <v>1.74</v>
      </c>
      <c r="E56" s="53">
        <v>11.8</v>
      </c>
      <c r="F56" s="54">
        <f t="shared" si="3"/>
        <v>17.7828</v>
      </c>
      <c r="G56" s="55">
        <v>0.15</v>
      </c>
      <c r="H56" s="54">
        <f t="shared" si="5"/>
        <v>1.40625</v>
      </c>
      <c r="I56" s="56">
        <f t="shared" si="4"/>
        <v>0.07907922261960995</v>
      </c>
      <c r="M56" s="52"/>
    </row>
    <row r="57" spans="1:13" ht="12.75">
      <c r="A57" t="s">
        <v>81</v>
      </c>
      <c r="B57" t="s">
        <v>37</v>
      </c>
      <c r="C57" s="33">
        <v>32</v>
      </c>
      <c r="D57" s="52">
        <v>1.74</v>
      </c>
      <c r="E57" s="53">
        <v>8.9</v>
      </c>
      <c r="F57" s="54">
        <f t="shared" si="3"/>
        <v>12.7368</v>
      </c>
      <c r="G57" s="55">
        <v>0.099</v>
      </c>
      <c r="H57" s="54">
        <f t="shared" si="5"/>
        <v>0.6125625</v>
      </c>
      <c r="I57" s="56">
        <f t="shared" si="4"/>
        <v>0.04809390898812888</v>
      </c>
      <c r="M57" s="52"/>
    </row>
    <row r="58" spans="1:13" ht="12.75">
      <c r="A58" t="s">
        <v>83</v>
      </c>
      <c r="B58" t="s">
        <v>38</v>
      </c>
      <c r="C58" s="33">
        <v>32</v>
      </c>
      <c r="D58" s="52">
        <v>1.75</v>
      </c>
      <c r="E58" s="53">
        <v>7.5</v>
      </c>
      <c r="F58" s="54">
        <f t="shared" si="3"/>
        <v>10.3758</v>
      </c>
      <c r="G58" s="55">
        <v>0.1414</v>
      </c>
      <c r="H58" s="54">
        <f t="shared" si="5"/>
        <v>1.2496224999999999</v>
      </c>
      <c r="I58" s="56">
        <f t="shared" si="4"/>
        <v>0.12043625551764682</v>
      </c>
      <c r="M58" s="52"/>
    </row>
    <row r="59" spans="1:9" ht="12.75">
      <c r="A59" t="s">
        <v>83</v>
      </c>
      <c r="B59" t="s">
        <v>37</v>
      </c>
      <c r="C59" s="33">
        <v>32</v>
      </c>
      <c r="D59" s="52">
        <v>1.74</v>
      </c>
      <c r="E59" s="53">
        <v>6.6</v>
      </c>
      <c r="F59" s="54">
        <f t="shared" si="3"/>
        <v>8.7348</v>
      </c>
      <c r="G59" s="55">
        <v>0.113</v>
      </c>
      <c r="H59" s="54">
        <f t="shared" si="5"/>
        <v>0.7980625</v>
      </c>
      <c r="I59" s="56">
        <f t="shared" si="4"/>
        <v>0.09136585840545863</v>
      </c>
    </row>
    <row r="60" spans="1:9" ht="12.75">
      <c r="A60" t="s">
        <v>81</v>
      </c>
      <c r="B60" t="s">
        <v>38</v>
      </c>
      <c r="C60" s="33">
        <v>32</v>
      </c>
      <c r="D60" s="52">
        <v>1.75</v>
      </c>
      <c r="E60" s="53">
        <v>7.24</v>
      </c>
      <c r="F60" s="54">
        <f t="shared" si="3"/>
        <v>9.9208</v>
      </c>
      <c r="G60" s="55">
        <v>0.0707</v>
      </c>
      <c r="H60" s="54">
        <f t="shared" si="5"/>
        <v>0.31240562499999996</v>
      </c>
      <c r="I60" s="56">
        <f t="shared" si="4"/>
        <v>0.03148996300701556</v>
      </c>
    </row>
    <row r="61" spans="1:9" ht="12.75">
      <c r="A61" t="s">
        <v>81</v>
      </c>
      <c r="B61" t="s">
        <v>37</v>
      </c>
      <c r="C61" s="33">
        <v>32</v>
      </c>
      <c r="D61" s="52">
        <v>1.74</v>
      </c>
      <c r="E61" s="53">
        <v>7.08</v>
      </c>
      <c r="F61" s="54">
        <f t="shared" si="3"/>
        <v>9.57</v>
      </c>
      <c r="G61" s="55">
        <v>0.07</v>
      </c>
      <c r="H61" s="54">
        <f t="shared" si="5"/>
        <v>0.30625</v>
      </c>
      <c r="I61" s="56">
        <f t="shared" si="4"/>
        <v>0.03200104493207941</v>
      </c>
    </row>
    <row r="62" spans="1:9" ht="12.75">
      <c r="A62" t="s">
        <v>83</v>
      </c>
      <c r="B62" t="s">
        <v>37</v>
      </c>
      <c r="C62" s="33">
        <v>32</v>
      </c>
      <c r="D62" s="52">
        <v>1.74</v>
      </c>
      <c r="E62" s="53">
        <v>5.23</v>
      </c>
      <c r="F62" s="54">
        <f t="shared" si="3"/>
        <v>6.351000000000001</v>
      </c>
      <c r="G62" s="55">
        <v>0.077</v>
      </c>
      <c r="H62" s="54">
        <f t="shared" si="5"/>
        <v>0.3705625</v>
      </c>
      <c r="I62" s="56">
        <f t="shared" si="4"/>
        <v>0.05834711069122972</v>
      </c>
    </row>
    <row r="63" spans="1:9" ht="12.75">
      <c r="A63" t="s">
        <v>81</v>
      </c>
      <c r="B63" t="s">
        <v>38</v>
      </c>
      <c r="C63" s="33">
        <v>32</v>
      </c>
      <c r="D63" s="52">
        <v>1.75</v>
      </c>
      <c r="E63" s="53">
        <v>6.18</v>
      </c>
      <c r="F63" s="54">
        <f t="shared" si="3"/>
        <v>8.0658</v>
      </c>
      <c r="G63" s="55">
        <v>0.055145999999999994</v>
      </c>
      <c r="H63" s="54">
        <f t="shared" si="5"/>
        <v>0.19006758224999995</v>
      </c>
      <c r="I63" s="56">
        <f t="shared" si="4"/>
        <v>0.023564628710109347</v>
      </c>
    </row>
    <row r="64" spans="1:9" ht="12.75">
      <c r="A64" t="s">
        <v>83</v>
      </c>
      <c r="B64" t="s">
        <v>38</v>
      </c>
      <c r="C64" s="33">
        <v>32</v>
      </c>
      <c r="D64" s="52">
        <v>1.74</v>
      </c>
      <c r="E64" s="53">
        <v>6.05</v>
      </c>
      <c r="F64" s="54">
        <f t="shared" si="3"/>
        <v>7.777799999999999</v>
      </c>
      <c r="G64" s="55">
        <v>0.10604999999999999</v>
      </c>
      <c r="H64" s="54">
        <f t="shared" si="5"/>
        <v>0.7029126562499999</v>
      </c>
      <c r="I64" s="56">
        <f t="shared" si="4"/>
        <v>0.09037422616292524</v>
      </c>
    </row>
    <row r="65" spans="1:9" ht="12.75">
      <c r="A65" t="s">
        <v>81</v>
      </c>
      <c r="B65" t="s">
        <v>37</v>
      </c>
      <c r="C65" s="33">
        <v>32</v>
      </c>
      <c r="D65" s="52">
        <v>1.74</v>
      </c>
      <c r="E65" s="53">
        <v>6.8</v>
      </c>
      <c r="F65" s="54">
        <f t="shared" si="3"/>
        <v>9.082799999999999</v>
      </c>
      <c r="G65" s="55">
        <v>0.05</v>
      </c>
      <c r="H65" s="54">
        <f t="shared" si="5"/>
        <v>0.15625000000000003</v>
      </c>
      <c r="I65" s="56">
        <f t="shared" si="4"/>
        <v>0.017202844937684418</v>
      </c>
    </row>
    <row r="66" spans="1:9" ht="12.75">
      <c r="A66" t="s">
        <v>83</v>
      </c>
      <c r="B66" t="s">
        <v>38</v>
      </c>
      <c r="C66" s="33">
        <v>32</v>
      </c>
      <c r="D66" s="52">
        <v>1.74</v>
      </c>
      <c r="E66" s="53">
        <v>4.79</v>
      </c>
      <c r="F66" s="54">
        <f aca="true" t="shared" si="6" ref="F66:F71">(D66*E66)-$K$2</f>
        <v>5.5854</v>
      </c>
      <c r="G66" s="55">
        <v>0.0707</v>
      </c>
      <c r="H66" s="54">
        <f t="shared" si="5"/>
        <v>0.31240562499999996</v>
      </c>
      <c r="I66" s="56">
        <f aca="true" t="shared" si="7" ref="I66:I71">H66/F66</f>
        <v>0.055932542879650514</v>
      </c>
    </row>
    <row r="67" spans="1:9" ht="12.75">
      <c r="A67" t="s">
        <v>83</v>
      </c>
      <c r="B67" t="s">
        <v>37</v>
      </c>
      <c r="C67" s="33">
        <v>32</v>
      </c>
      <c r="D67" s="52">
        <v>1.74</v>
      </c>
      <c r="E67" s="53">
        <v>3.68</v>
      </c>
      <c r="F67" s="54">
        <f t="shared" si="6"/>
        <v>3.654</v>
      </c>
      <c r="G67" s="55">
        <v>0.032</v>
      </c>
      <c r="H67" s="54">
        <f t="shared" si="5"/>
        <v>0.064</v>
      </c>
      <c r="I67" s="56">
        <f t="shared" si="7"/>
        <v>0.01751505199781062</v>
      </c>
    </row>
    <row r="68" spans="1:9" ht="12.75">
      <c r="A68" t="s">
        <v>81</v>
      </c>
      <c r="B68" t="s">
        <v>38</v>
      </c>
      <c r="C68" s="33">
        <v>32</v>
      </c>
      <c r="D68" s="52">
        <v>1.75</v>
      </c>
      <c r="E68" s="53">
        <v>4.6</v>
      </c>
      <c r="F68" s="54">
        <f t="shared" si="6"/>
        <v>5.300799999999999</v>
      </c>
      <c r="G68" s="55">
        <v>0.036057</v>
      </c>
      <c r="H68" s="54">
        <f t="shared" si="5"/>
        <v>0.08125670306249999</v>
      </c>
      <c r="I68" s="56">
        <f t="shared" si="7"/>
        <v>0.015329139575630096</v>
      </c>
    </row>
    <row r="69" spans="1:9" ht="12.75">
      <c r="A69" t="s">
        <v>83</v>
      </c>
      <c r="B69" t="s">
        <v>38</v>
      </c>
      <c r="C69" s="33">
        <v>32</v>
      </c>
      <c r="D69" s="52">
        <v>1.74</v>
      </c>
      <c r="E69" s="53">
        <v>3</v>
      </c>
      <c r="F69" s="54">
        <f t="shared" si="6"/>
        <v>2.4707999999999997</v>
      </c>
      <c r="G69" s="55">
        <v>0.025451999999999995</v>
      </c>
      <c r="H69" s="54">
        <f t="shared" si="5"/>
        <v>0.040487768999999986</v>
      </c>
      <c r="I69" s="56">
        <f t="shared" si="7"/>
        <v>0.016386501942690625</v>
      </c>
    </row>
    <row r="70" spans="1:9" ht="12.75">
      <c r="A70" t="s">
        <v>81</v>
      </c>
      <c r="B70" t="s">
        <v>37</v>
      </c>
      <c r="C70" s="33">
        <v>32</v>
      </c>
      <c r="D70" s="52">
        <v>1.74</v>
      </c>
      <c r="E70" s="53">
        <v>4.5</v>
      </c>
      <c r="F70" s="54">
        <f t="shared" si="6"/>
        <v>5.0808</v>
      </c>
      <c r="G70" s="55">
        <v>0.026</v>
      </c>
      <c r="H70" s="54">
        <f t="shared" si="5"/>
        <v>0.042249999999999996</v>
      </c>
      <c r="I70" s="56">
        <f t="shared" si="7"/>
        <v>0.00831561958746654</v>
      </c>
    </row>
    <row r="71" spans="1:9" ht="12.75">
      <c r="A71" t="s">
        <v>83</v>
      </c>
      <c r="B71" t="s">
        <v>37</v>
      </c>
      <c r="C71" s="33">
        <v>32</v>
      </c>
      <c r="D71" s="52">
        <v>1.74</v>
      </c>
      <c r="E71" s="53">
        <v>3.21</v>
      </c>
      <c r="F71" s="54">
        <f t="shared" si="6"/>
        <v>2.8362</v>
      </c>
      <c r="G71" s="55">
        <v>0.018</v>
      </c>
      <c r="H71" s="54">
        <f t="shared" si="5"/>
        <v>0.020249999999999997</v>
      </c>
      <c r="I71" s="56">
        <f t="shared" si="7"/>
        <v>0.00713983499048022</v>
      </c>
    </row>
    <row r="72" spans="4:9" ht="12.75">
      <c r="D72" s="52"/>
      <c r="E72" s="52"/>
      <c r="F72" s="52"/>
      <c r="G72" s="52"/>
      <c r="H72" s="52"/>
      <c r="I72" s="52"/>
    </row>
    <row r="73" spans="4:9" ht="12.75">
      <c r="D73" s="52"/>
      <c r="E73" s="52"/>
      <c r="F73" s="52"/>
      <c r="G73" s="52"/>
      <c r="H73" s="52"/>
      <c r="I73" s="52"/>
    </row>
    <row r="74" spans="4:9" ht="12.75">
      <c r="D74" s="52"/>
      <c r="E74" s="52"/>
      <c r="F74" s="52"/>
      <c r="G74" s="52"/>
      <c r="H74" s="52"/>
      <c r="I74" s="52"/>
    </row>
    <row r="75" spans="4:9" ht="12.75">
      <c r="D75" s="52"/>
      <c r="E75" s="52"/>
      <c r="F75" s="52"/>
      <c r="G75" s="52"/>
      <c r="H75" s="52"/>
      <c r="I75" s="52"/>
    </row>
    <row r="76" spans="4:9" ht="12.75">
      <c r="D76" s="52"/>
      <c r="E76" s="52"/>
      <c r="F76" s="52"/>
      <c r="G76" s="52"/>
      <c r="H76" s="52"/>
      <c r="I76" s="52"/>
    </row>
    <row r="77" spans="4:9" ht="12.75">
      <c r="D77" s="52"/>
      <c r="E77" s="52"/>
      <c r="F77" s="52"/>
      <c r="G77" s="52"/>
      <c r="H77" s="52"/>
      <c r="I77" s="52"/>
    </row>
    <row r="78" spans="4:9" ht="12.75">
      <c r="D78" s="52"/>
      <c r="E78" s="52"/>
      <c r="F78" s="52"/>
      <c r="G78" s="52"/>
      <c r="H78" s="52"/>
      <c r="I78" s="52"/>
    </row>
    <row r="79" spans="4:9" ht="12.75">
      <c r="D79" s="52"/>
      <c r="E79" s="52"/>
      <c r="F79" s="52"/>
      <c r="G79" s="52"/>
      <c r="H79" s="52"/>
      <c r="I79" s="52"/>
    </row>
    <row r="80" spans="4:9" ht="12.75">
      <c r="D80" s="52"/>
      <c r="E80" s="52"/>
      <c r="F80" s="52"/>
      <c r="G80" s="52"/>
      <c r="H80" s="52"/>
      <c r="I80" s="52"/>
    </row>
    <row r="81" spans="4:9" ht="12.75">
      <c r="D81" s="52"/>
      <c r="E81" s="52"/>
      <c r="F81" s="52"/>
      <c r="G81" s="52"/>
      <c r="H81" s="52"/>
      <c r="I81" s="52"/>
    </row>
    <row r="82" spans="4:9" ht="12.75">
      <c r="D82" s="52"/>
      <c r="E82" s="52"/>
      <c r="F82" s="52"/>
      <c r="G82" s="52"/>
      <c r="H82" s="52"/>
      <c r="I82" s="52"/>
    </row>
    <row r="84" spans="4:13" ht="12.75">
      <c r="D84"/>
      <c r="E84"/>
      <c r="F84"/>
      <c r="G84"/>
      <c r="H84"/>
      <c r="I84"/>
      <c r="J84"/>
      <c r="K84"/>
      <c r="L84"/>
      <c r="M84"/>
    </row>
    <row r="85" spans="4:13" ht="12.75">
      <c r="D85"/>
      <c r="E85"/>
      <c r="F85"/>
      <c r="G85"/>
      <c r="H85"/>
      <c r="I85"/>
      <c r="J85"/>
      <c r="K85"/>
      <c r="L85"/>
      <c r="M85"/>
    </row>
    <row r="86" spans="4:13" ht="13.5" customHeight="1">
      <c r="D86"/>
      <c r="E86"/>
      <c r="F86"/>
      <c r="G86"/>
      <c r="H86"/>
      <c r="I86"/>
      <c r="J86"/>
      <c r="K86"/>
      <c r="L86"/>
      <c r="M86"/>
    </row>
    <row r="87" spans="4:13" ht="12.75">
      <c r="D87"/>
      <c r="E87"/>
      <c r="F87"/>
      <c r="G87"/>
      <c r="H87"/>
      <c r="I87"/>
      <c r="J87"/>
      <c r="K87"/>
      <c r="L87"/>
      <c r="M87"/>
    </row>
    <row r="88" spans="4:13" ht="12.75">
      <c r="D88"/>
      <c r="E88"/>
      <c r="F88"/>
      <c r="G88"/>
      <c r="H88"/>
      <c r="I88"/>
      <c r="J88"/>
      <c r="K88"/>
      <c r="L88"/>
      <c r="M88"/>
    </row>
    <row r="89" spans="4:13" ht="12.75">
      <c r="D89"/>
      <c r="E89"/>
      <c r="F89"/>
      <c r="G89"/>
      <c r="H89"/>
      <c r="I89"/>
      <c r="J89"/>
      <c r="K89"/>
      <c r="L89"/>
      <c r="M89"/>
    </row>
    <row r="90" spans="4:13" ht="12.75">
      <c r="D90"/>
      <c r="E90"/>
      <c r="F90"/>
      <c r="G90"/>
      <c r="H90"/>
      <c r="I90"/>
      <c r="J90"/>
      <c r="K90"/>
      <c r="L90"/>
      <c r="M90"/>
    </row>
    <row r="91" spans="4:13" ht="12.75">
      <c r="D91"/>
      <c r="E91"/>
      <c r="F91"/>
      <c r="G91"/>
      <c r="H91"/>
      <c r="I91"/>
      <c r="J91"/>
      <c r="K91"/>
      <c r="L91"/>
      <c r="M91"/>
    </row>
    <row r="92" spans="4:13" ht="12.75">
      <c r="D92"/>
      <c r="E92"/>
      <c r="F92"/>
      <c r="G92"/>
      <c r="H92"/>
      <c r="I92"/>
      <c r="J92"/>
      <c r="K92"/>
      <c r="L92"/>
      <c r="M92"/>
    </row>
    <row r="93" spans="4:13" ht="12.75">
      <c r="D93"/>
      <c r="E93"/>
      <c r="F93"/>
      <c r="G93"/>
      <c r="H93"/>
      <c r="I93"/>
      <c r="J93"/>
      <c r="K93"/>
      <c r="L93"/>
      <c r="M93"/>
    </row>
    <row r="94" spans="4:13" ht="12.75">
      <c r="D94"/>
      <c r="E94"/>
      <c r="F94"/>
      <c r="G94"/>
      <c r="H94"/>
      <c r="I94"/>
      <c r="J94"/>
      <c r="K94"/>
      <c r="L94"/>
      <c r="M94"/>
    </row>
    <row r="95" spans="4:13" ht="12.75">
      <c r="D95"/>
      <c r="E95"/>
      <c r="F95"/>
      <c r="G95"/>
      <c r="H95"/>
      <c r="I95"/>
      <c r="J95"/>
      <c r="K95"/>
      <c r="L95"/>
      <c r="M95"/>
    </row>
    <row r="96" spans="4:13" ht="12.75">
      <c r="D96"/>
      <c r="E96"/>
      <c r="F96"/>
      <c r="G96"/>
      <c r="H96"/>
      <c r="I96"/>
      <c r="J96"/>
      <c r="K96"/>
      <c r="L96"/>
      <c r="M96"/>
    </row>
    <row r="97" spans="4:13" ht="12.75">
      <c r="D97"/>
      <c r="E97"/>
      <c r="F97"/>
      <c r="G97"/>
      <c r="H97"/>
      <c r="I97"/>
      <c r="J97"/>
      <c r="K97"/>
      <c r="L97"/>
      <c r="M97"/>
    </row>
    <row r="98" spans="4:13" ht="12.75">
      <c r="D98"/>
      <c r="E98"/>
      <c r="F98"/>
      <c r="G98"/>
      <c r="H98"/>
      <c r="I98"/>
      <c r="J98"/>
      <c r="K98"/>
      <c r="L98"/>
      <c r="M98"/>
    </row>
    <row r="99" spans="4:13" ht="12.75">
      <c r="D99"/>
      <c r="E99"/>
      <c r="F99"/>
      <c r="G99"/>
      <c r="H99"/>
      <c r="I99"/>
      <c r="J99"/>
      <c r="K99"/>
      <c r="L99"/>
      <c r="M99"/>
    </row>
    <row r="100" spans="4:13" ht="12.75">
      <c r="D100"/>
      <c r="E100"/>
      <c r="F100"/>
      <c r="G100"/>
      <c r="H100"/>
      <c r="I100"/>
      <c r="J100"/>
      <c r="K100"/>
      <c r="L100"/>
      <c r="M100"/>
    </row>
    <row r="101" s="57" customFormat="1" ht="12.75"/>
    <row r="102" s="57" customFormat="1" ht="12.75"/>
    <row r="103" spans="4:13" ht="13.5" customHeight="1">
      <c r="D103"/>
      <c r="E103"/>
      <c r="F103"/>
      <c r="G103"/>
      <c r="H103"/>
      <c r="I103"/>
      <c r="J103"/>
      <c r="K103"/>
      <c r="L103"/>
      <c r="M103"/>
    </row>
    <row r="104" spans="4:13" ht="12.75">
      <c r="D104"/>
      <c r="E104"/>
      <c r="F104"/>
      <c r="G104"/>
      <c r="H104"/>
      <c r="I104"/>
      <c r="J104"/>
      <c r="K104"/>
      <c r="L104"/>
      <c r="M104"/>
    </row>
    <row r="105" spans="4:13" ht="12.75">
      <c r="D105"/>
      <c r="E105"/>
      <c r="F105"/>
      <c r="G105"/>
      <c r="H105"/>
      <c r="I105"/>
      <c r="J105"/>
      <c r="K105"/>
      <c r="L105"/>
      <c r="M105"/>
    </row>
    <row r="106" spans="4:13" ht="12.75">
      <c r="D106"/>
      <c r="E106"/>
      <c r="F106"/>
      <c r="G106"/>
      <c r="H106"/>
      <c r="I106"/>
      <c r="J106"/>
      <c r="K106"/>
      <c r="L106"/>
      <c r="M106"/>
    </row>
    <row r="107" spans="4:13" ht="12.75">
      <c r="D107"/>
      <c r="E107"/>
      <c r="F107"/>
      <c r="G107"/>
      <c r="H107"/>
      <c r="I107"/>
      <c r="J107"/>
      <c r="K107"/>
      <c r="L107"/>
      <c r="M107"/>
    </row>
    <row r="108" spans="4:13" ht="12.75">
      <c r="D108"/>
      <c r="E108"/>
      <c r="F108"/>
      <c r="G108"/>
      <c r="H108"/>
      <c r="I108"/>
      <c r="J108"/>
      <c r="K108"/>
      <c r="L108"/>
      <c r="M108"/>
    </row>
    <row r="109" spans="4:13" ht="12.75">
      <c r="D109"/>
      <c r="E109"/>
      <c r="F109"/>
      <c r="G109"/>
      <c r="H109"/>
      <c r="I109"/>
      <c r="J109"/>
      <c r="K109"/>
      <c r="L109"/>
      <c r="M109"/>
    </row>
    <row r="110" spans="4:13" ht="12.75">
      <c r="D110"/>
      <c r="E110"/>
      <c r="F110"/>
      <c r="G110"/>
      <c r="H110"/>
      <c r="I110"/>
      <c r="J110"/>
      <c r="K110"/>
      <c r="L110"/>
      <c r="M110"/>
    </row>
    <row r="111" spans="4:13" ht="12.75">
      <c r="D111"/>
      <c r="E111"/>
      <c r="F111"/>
      <c r="G111"/>
      <c r="H111"/>
      <c r="I111"/>
      <c r="J111"/>
      <c r="K111"/>
      <c r="L111"/>
      <c r="M111"/>
    </row>
    <row r="112" spans="4:13" ht="12.75">
      <c r="D112"/>
      <c r="E112"/>
      <c r="F112"/>
      <c r="G112"/>
      <c r="H112"/>
      <c r="I112"/>
      <c r="J112"/>
      <c r="K112"/>
      <c r="L112"/>
      <c r="M112"/>
    </row>
    <row r="113" spans="4:13" ht="12.75">
      <c r="D113"/>
      <c r="E113"/>
      <c r="F113"/>
      <c r="G113"/>
      <c r="H113"/>
      <c r="I113"/>
      <c r="J113"/>
      <c r="K113"/>
      <c r="L113"/>
      <c r="M113"/>
    </row>
    <row r="114" spans="4:13" ht="12.75">
      <c r="D114"/>
      <c r="E114"/>
      <c r="F114"/>
      <c r="G114"/>
      <c r="H114"/>
      <c r="I114"/>
      <c r="J114"/>
      <c r="K114"/>
      <c r="L114"/>
      <c r="M114"/>
    </row>
    <row r="115" spans="4:13" ht="12.75">
      <c r="D115"/>
      <c r="E115"/>
      <c r="F115"/>
      <c r="G115"/>
      <c r="H115"/>
      <c r="I115"/>
      <c r="J115"/>
      <c r="K115"/>
      <c r="L115"/>
      <c r="M115"/>
    </row>
    <row r="116" spans="4:13" ht="12.75">
      <c r="D116"/>
      <c r="E116"/>
      <c r="F116"/>
      <c r="G116"/>
      <c r="H116"/>
      <c r="I116"/>
      <c r="J116"/>
      <c r="K116"/>
      <c r="L116"/>
      <c r="M116"/>
    </row>
    <row r="117" spans="4:13" ht="12.75">
      <c r="D117"/>
      <c r="E117"/>
      <c r="F117"/>
      <c r="G117"/>
      <c r="H117"/>
      <c r="I117"/>
      <c r="J117"/>
      <c r="K117"/>
      <c r="L117"/>
      <c r="M117"/>
    </row>
    <row r="118" spans="4:13" ht="12.75">
      <c r="D118"/>
      <c r="E118"/>
      <c r="F118"/>
      <c r="G118"/>
      <c r="H118"/>
      <c r="I118"/>
      <c r="J118"/>
      <c r="K118"/>
      <c r="L118"/>
      <c r="M118"/>
    </row>
    <row r="119" spans="4:13" ht="12.75">
      <c r="D119"/>
      <c r="E119"/>
      <c r="F119"/>
      <c r="G119"/>
      <c r="H119"/>
      <c r="I119"/>
      <c r="J119"/>
      <c r="K119"/>
      <c r="L119"/>
      <c r="M119"/>
    </row>
    <row r="120" spans="4:13" ht="12.75">
      <c r="D120"/>
      <c r="E120"/>
      <c r="F120"/>
      <c r="G120"/>
      <c r="H120"/>
      <c r="I120"/>
      <c r="J120"/>
      <c r="K120"/>
      <c r="L120"/>
      <c r="M120"/>
    </row>
    <row r="121" spans="4:13" ht="12.75">
      <c r="D121"/>
      <c r="E121"/>
      <c r="F121"/>
      <c r="G121"/>
      <c r="H121"/>
      <c r="I121"/>
      <c r="J121"/>
      <c r="K121"/>
      <c r="L121"/>
      <c r="M121"/>
    </row>
    <row r="122" spans="4:13" ht="12.75">
      <c r="D122"/>
      <c r="E122"/>
      <c r="F122"/>
      <c r="G122"/>
      <c r="H122"/>
      <c r="I122"/>
      <c r="J122"/>
      <c r="K122"/>
      <c r="L122"/>
      <c r="M122"/>
    </row>
    <row r="123" spans="4:13" ht="12.75">
      <c r="D123"/>
      <c r="E123"/>
      <c r="F123"/>
      <c r="G123"/>
      <c r="H123"/>
      <c r="I123"/>
      <c r="J123"/>
      <c r="K123"/>
      <c r="L123"/>
      <c r="M123"/>
    </row>
  </sheetData>
  <sheetProtection sheet="1" objects="1" scenarios="1" selectLockedCells="1" selectUnlockedCells="1"/>
  <autoFilter ref="A1:I119"/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0"/>
  <sheetViews>
    <sheetView workbookViewId="0" topLeftCell="A1">
      <selection activeCell="J4" sqref="J4"/>
    </sheetView>
  </sheetViews>
  <sheetFormatPr defaultColWidth="9.140625" defaultRowHeight="12.75"/>
  <cols>
    <col min="1" max="1" width="18.8515625" style="0" bestFit="1" customWidth="1"/>
    <col min="2" max="2" width="12.421875" style="0" bestFit="1" customWidth="1"/>
    <col min="3" max="3" width="11.7109375" style="33" bestFit="1" customWidth="1"/>
    <col min="4" max="4" width="11.421875" style="33" bestFit="1" customWidth="1"/>
    <col min="5" max="5" width="9.140625" style="33" customWidth="1"/>
    <col min="6" max="6" width="11.421875" style="33" customWidth="1"/>
    <col min="7" max="8" width="12.00390625" style="33" customWidth="1"/>
  </cols>
  <sheetData>
    <row r="1" spans="1:9" s="62" customFormat="1" ht="39" thickBot="1">
      <c r="A1" s="47" t="s">
        <v>73</v>
      </c>
      <c r="B1" s="48" t="s">
        <v>103</v>
      </c>
      <c r="C1" s="48" t="s">
        <v>84</v>
      </c>
      <c r="D1" s="60" t="s">
        <v>85</v>
      </c>
      <c r="E1" s="48" t="s">
        <v>77</v>
      </c>
      <c r="F1" s="60" t="s">
        <v>78</v>
      </c>
      <c r="G1" s="48" t="s">
        <v>79</v>
      </c>
      <c r="H1" s="61" t="s">
        <v>66</v>
      </c>
      <c r="I1" s="48" t="s">
        <v>113</v>
      </c>
    </row>
    <row r="2" spans="1:9" s="35" customFormat="1" ht="12.75">
      <c r="A2" t="s">
        <v>38</v>
      </c>
      <c r="B2" s="63">
        <v>4</v>
      </c>
      <c r="C2" s="64">
        <v>4.2</v>
      </c>
      <c r="D2" s="71">
        <v>659</v>
      </c>
      <c r="E2" s="71">
        <v>2767.8</v>
      </c>
      <c r="F2" s="74">
        <v>2.7</v>
      </c>
      <c r="G2" s="72">
        <v>1638.2022471910113</v>
      </c>
      <c r="H2" s="73">
        <v>0.5918788377740484</v>
      </c>
      <c r="I2" s="75">
        <f aca="true" t="shared" si="0" ref="I2:I49">E2-G2</f>
        <v>1129.5977528089888</v>
      </c>
    </row>
    <row r="3" spans="1:9" ht="12.75">
      <c r="A3" t="s">
        <v>38</v>
      </c>
      <c r="B3" s="63">
        <v>4</v>
      </c>
      <c r="C3" s="64">
        <v>4.2</v>
      </c>
      <c r="D3" s="71">
        <v>608</v>
      </c>
      <c r="E3" s="71">
        <v>2553.6</v>
      </c>
      <c r="F3" s="74">
        <v>2.58</v>
      </c>
      <c r="G3" s="72">
        <v>1495.8202247191011</v>
      </c>
      <c r="H3" s="73">
        <v>0.5857691982765904</v>
      </c>
      <c r="I3" s="75">
        <f t="shared" si="0"/>
        <v>1057.7797752808988</v>
      </c>
    </row>
    <row r="4" spans="1:9" ht="12.75">
      <c r="A4" t="s">
        <v>38</v>
      </c>
      <c r="B4" s="63">
        <v>4</v>
      </c>
      <c r="C4" s="64">
        <v>4.2</v>
      </c>
      <c r="D4" s="71">
        <v>523</v>
      </c>
      <c r="E4" s="71">
        <v>2196.6</v>
      </c>
      <c r="F4" s="74">
        <v>2.3</v>
      </c>
      <c r="G4" s="72">
        <v>1188.76404494382</v>
      </c>
      <c r="H4" s="73">
        <v>0.5411836679157881</v>
      </c>
      <c r="I4" s="75">
        <f t="shared" si="0"/>
        <v>1007.83595505618</v>
      </c>
    </row>
    <row r="5" spans="1:9" ht="12.75">
      <c r="A5" t="s">
        <v>38</v>
      </c>
      <c r="B5" s="63">
        <v>4</v>
      </c>
      <c r="C5" s="64">
        <v>4.2</v>
      </c>
      <c r="D5" s="71">
        <v>464</v>
      </c>
      <c r="E5" s="71">
        <v>1948.8</v>
      </c>
      <c r="F5" s="74">
        <v>2.05</v>
      </c>
      <c r="G5" s="72">
        <v>944.3820224719101</v>
      </c>
      <c r="H5" s="73">
        <v>0.4845966864079998</v>
      </c>
      <c r="I5" s="75">
        <f t="shared" si="0"/>
        <v>1004.4179775280899</v>
      </c>
    </row>
    <row r="6" spans="1:9" ht="12.75">
      <c r="A6" t="s">
        <v>38</v>
      </c>
      <c r="B6" s="63">
        <v>4</v>
      </c>
      <c r="C6" s="64">
        <v>4.2</v>
      </c>
      <c r="D6" s="71">
        <v>414</v>
      </c>
      <c r="E6" s="71">
        <v>1738.8</v>
      </c>
      <c r="F6" s="74">
        <v>1.83</v>
      </c>
      <c r="G6" s="72">
        <v>752.5617977528091</v>
      </c>
      <c r="H6" s="73">
        <v>0.4328052667085398</v>
      </c>
      <c r="I6" s="75">
        <f t="shared" si="0"/>
        <v>986.2382022471909</v>
      </c>
    </row>
    <row r="7" spans="1:9" ht="12.75">
      <c r="A7" t="s">
        <v>38</v>
      </c>
      <c r="B7" s="63">
        <v>4</v>
      </c>
      <c r="C7" s="64">
        <v>4.2</v>
      </c>
      <c r="D7" s="71">
        <v>348</v>
      </c>
      <c r="E7" s="71">
        <v>1461.6</v>
      </c>
      <c r="F7" s="74">
        <v>1.54</v>
      </c>
      <c r="G7" s="72">
        <v>532.943820224719</v>
      </c>
      <c r="H7" s="73">
        <v>0.36463041887296044</v>
      </c>
      <c r="I7" s="75">
        <f t="shared" si="0"/>
        <v>928.6561797752809</v>
      </c>
    </row>
    <row r="8" spans="1:9" ht="12.75">
      <c r="A8" t="s">
        <v>38</v>
      </c>
      <c r="B8" s="63">
        <v>4</v>
      </c>
      <c r="C8" s="64">
        <v>4.2</v>
      </c>
      <c r="D8" s="71">
        <v>293</v>
      </c>
      <c r="E8" s="71">
        <v>1230.6</v>
      </c>
      <c r="F8" s="74">
        <v>1.3</v>
      </c>
      <c r="G8" s="72">
        <v>379.7752808988764</v>
      </c>
      <c r="H8" s="73">
        <v>0.3086098495846549</v>
      </c>
      <c r="I8" s="75">
        <f t="shared" si="0"/>
        <v>850.8247191011235</v>
      </c>
    </row>
    <row r="9" spans="1:9" ht="12.75">
      <c r="A9" t="s">
        <v>38</v>
      </c>
      <c r="B9" s="63">
        <v>4</v>
      </c>
      <c r="C9" s="64">
        <v>4.2</v>
      </c>
      <c r="D9" s="71">
        <v>261</v>
      </c>
      <c r="E9" s="71">
        <v>1096.2</v>
      </c>
      <c r="F9" s="74">
        <v>1.16</v>
      </c>
      <c r="G9" s="72">
        <v>302.3820224719101</v>
      </c>
      <c r="H9" s="73">
        <v>0.275845669104096</v>
      </c>
      <c r="I9" s="75">
        <f t="shared" si="0"/>
        <v>793.81797752809</v>
      </c>
    </row>
    <row r="10" spans="1:9" ht="12.75">
      <c r="A10" t="s">
        <v>37</v>
      </c>
      <c r="B10" s="63">
        <v>4</v>
      </c>
      <c r="C10" s="64">
        <v>4.2</v>
      </c>
      <c r="D10" s="64">
        <v>202</v>
      </c>
      <c r="E10" s="64">
        <f>C10*D10</f>
        <v>848.4000000000001</v>
      </c>
      <c r="F10" s="66">
        <v>0.66</v>
      </c>
      <c r="G10" s="67">
        <f>1000*(F10)^2/4.5</f>
        <v>96.80000000000001</v>
      </c>
      <c r="H10" s="56">
        <f>G10/E10</f>
        <v>0.1140971239981141</v>
      </c>
      <c r="I10" s="75">
        <f t="shared" si="0"/>
        <v>751.6000000000001</v>
      </c>
    </row>
    <row r="11" spans="1:9" ht="12.75">
      <c r="A11" t="s">
        <v>38</v>
      </c>
      <c r="B11" s="63">
        <v>4</v>
      </c>
      <c r="C11" s="64">
        <v>4.2</v>
      </c>
      <c r="D11" s="71">
        <v>233</v>
      </c>
      <c r="E11" s="71">
        <v>978.6</v>
      </c>
      <c r="F11" s="74">
        <v>1.03</v>
      </c>
      <c r="G11" s="72">
        <v>238.40449438202242</v>
      </c>
      <c r="H11" s="73">
        <v>0.2436179178234441</v>
      </c>
      <c r="I11" s="75">
        <f t="shared" si="0"/>
        <v>740.1955056179776</v>
      </c>
    </row>
    <row r="12" spans="1:9" ht="12.75">
      <c r="A12" t="s">
        <v>37</v>
      </c>
      <c r="B12" s="63">
        <v>4</v>
      </c>
      <c r="C12" s="64">
        <v>4.2</v>
      </c>
      <c r="D12" s="64">
        <v>265</v>
      </c>
      <c r="E12" s="64">
        <f>C12*D12</f>
        <v>1113</v>
      </c>
      <c r="F12" s="66">
        <v>1.3</v>
      </c>
      <c r="G12" s="67">
        <f>1000*(F12)^2/4.5</f>
        <v>375.5555555555556</v>
      </c>
      <c r="H12" s="56">
        <f>G12/E12</f>
        <v>0.33742637516222423</v>
      </c>
      <c r="I12" s="75">
        <f t="shared" si="0"/>
        <v>737.4444444444443</v>
      </c>
    </row>
    <row r="13" spans="1:9" ht="12.75">
      <c r="A13" t="s">
        <v>37</v>
      </c>
      <c r="B13" s="63">
        <v>4</v>
      </c>
      <c r="C13" s="64">
        <v>4.2</v>
      </c>
      <c r="D13" s="64">
        <v>247</v>
      </c>
      <c r="E13" s="64">
        <f>C13*D13</f>
        <v>1037.4</v>
      </c>
      <c r="F13" s="66">
        <v>1.25</v>
      </c>
      <c r="G13" s="67">
        <f>1000*(F13)^2/4.5</f>
        <v>347.22222222222223</v>
      </c>
      <c r="H13" s="56">
        <f>G13/E13</f>
        <v>0.3347042820727031</v>
      </c>
      <c r="I13" s="75">
        <f t="shared" si="0"/>
        <v>690.1777777777779</v>
      </c>
    </row>
    <row r="14" spans="1:9" ht="12.75">
      <c r="A14" t="s">
        <v>37</v>
      </c>
      <c r="B14" s="63">
        <v>4</v>
      </c>
      <c r="C14" s="64">
        <v>4.2</v>
      </c>
      <c r="D14" s="64">
        <v>212</v>
      </c>
      <c r="E14" s="64">
        <f>C14*D14</f>
        <v>890.4000000000001</v>
      </c>
      <c r="F14" s="66">
        <v>1.06</v>
      </c>
      <c r="G14" s="67">
        <f>1000*(F14)^2/4.5</f>
        <v>249.68888888888893</v>
      </c>
      <c r="H14" s="56">
        <f>G14/E14</f>
        <v>0.28042328042328046</v>
      </c>
      <c r="I14" s="75">
        <f t="shared" si="0"/>
        <v>640.7111111111112</v>
      </c>
    </row>
    <row r="15" spans="1:9" ht="12.75">
      <c r="A15" t="s">
        <v>38</v>
      </c>
      <c r="B15" s="63">
        <v>4</v>
      </c>
      <c r="C15" s="64">
        <v>4.2</v>
      </c>
      <c r="D15" s="71">
        <v>139</v>
      </c>
      <c r="E15" s="71">
        <v>583.8</v>
      </c>
      <c r="F15" s="74">
        <v>0.615</v>
      </c>
      <c r="G15" s="72">
        <v>84.9943820224719</v>
      </c>
      <c r="H15" s="73">
        <v>0.14558818434818754</v>
      </c>
      <c r="I15" s="75">
        <f t="shared" si="0"/>
        <v>498.8056179775281</v>
      </c>
    </row>
    <row r="16" spans="1:9" ht="12.75">
      <c r="A16" t="s">
        <v>38</v>
      </c>
      <c r="B16" s="63">
        <v>8</v>
      </c>
      <c r="C16" s="64">
        <v>4.2</v>
      </c>
      <c r="D16" s="52">
        <v>195</v>
      </c>
      <c r="E16" s="65">
        <f aca="true" t="shared" si="1" ref="E16:E21">C16*D16</f>
        <v>819</v>
      </c>
      <c r="F16" s="55">
        <v>1.71</v>
      </c>
      <c r="G16" s="67">
        <f aca="true" t="shared" si="2" ref="G16:G21">1000*(F16)^2/B16</f>
        <v>365.5125</v>
      </c>
      <c r="H16" s="56">
        <f aca="true" t="shared" si="3" ref="H16:H21">G16/E16</f>
        <v>0.44629120879120876</v>
      </c>
      <c r="I16" s="75">
        <f t="shared" si="0"/>
        <v>453.4875</v>
      </c>
    </row>
    <row r="17" spans="1:9" ht="12.75">
      <c r="A17" t="s">
        <v>38</v>
      </c>
      <c r="B17" s="63">
        <v>8</v>
      </c>
      <c r="C17" s="64">
        <v>4.2</v>
      </c>
      <c r="D17" s="52">
        <v>245</v>
      </c>
      <c r="E17" s="65">
        <f t="shared" si="1"/>
        <v>1029</v>
      </c>
      <c r="F17" s="55">
        <v>2.16</v>
      </c>
      <c r="G17" s="67">
        <f t="shared" si="2"/>
        <v>583.2</v>
      </c>
      <c r="H17" s="56">
        <f t="shared" si="3"/>
        <v>0.5667638483965015</v>
      </c>
      <c r="I17" s="75">
        <f t="shared" si="0"/>
        <v>445.79999999999995</v>
      </c>
    </row>
    <row r="18" spans="1:9" ht="12.75">
      <c r="A18" t="s">
        <v>38</v>
      </c>
      <c r="B18" s="63">
        <v>8</v>
      </c>
      <c r="C18" s="64">
        <v>4.2</v>
      </c>
      <c r="D18" s="52">
        <v>174</v>
      </c>
      <c r="E18" s="65">
        <f t="shared" si="1"/>
        <v>730.8000000000001</v>
      </c>
      <c r="F18" s="55">
        <v>1.53</v>
      </c>
      <c r="G18" s="67">
        <f t="shared" si="2"/>
        <v>292.6125</v>
      </c>
      <c r="H18" s="56">
        <f t="shared" si="3"/>
        <v>0.4004002463054187</v>
      </c>
      <c r="I18" s="75">
        <f t="shared" si="0"/>
        <v>438.18750000000006</v>
      </c>
    </row>
    <row r="19" spans="1:9" ht="12.75">
      <c r="A19" t="s">
        <v>38</v>
      </c>
      <c r="B19" s="63">
        <v>8</v>
      </c>
      <c r="C19" s="64">
        <v>4.2</v>
      </c>
      <c r="D19" s="52">
        <v>288</v>
      </c>
      <c r="E19" s="65">
        <f t="shared" si="1"/>
        <v>1209.6000000000001</v>
      </c>
      <c r="F19" s="55">
        <v>2.54</v>
      </c>
      <c r="G19" s="67">
        <f t="shared" si="2"/>
        <v>806.45</v>
      </c>
      <c r="H19" s="56">
        <f t="shared" si="3"/>
        <v>0.6667080026455026</v>
      </c>
      <c r="I19" s="75">
        <f t="shared" si="0"/>
        <v>403.1500000000001</v>
      </c>
    </row>
    <row r="20" spans="1:9" ht="12.75">
      <c r="A20" t="s">
        <v>38</v>
      </c>
      <c r="B20" s="63">
        <v>8</v>
      </c>
      <c r="C20" s="64">
        <v>4.2</v>
      </c>
      <c r="D20" s="52">
        <v>138</v>
      </c>
      <c r="E20" s="65">
        <f t="shared" si="1"/>
        <v>579.6</v>
      </c>
      <c r="F20" s="55">
        <v>1.21</v>
      </c>
      <c r="G20" s="67">
        <f t="shared" si="2"/>
        <v>183.0125</v>
      </c>
      <c r="H20" s="56">
        <f t="shared" si="3"/>
        <v>0.31575655624568666</v>
      </c>
      <c r="I20" s="75">
        <f t="shared" si="0"/>
        <v>396.58750000000003</v>
      </c>
    </row>
    <row r="21" spans="1:9" ht="12.75">
      <c r="A21" t="s">
        <v>38</v>
      </c>
      <c r="B21" s="63">
        <v>8</v>
      </c>
      <c r="C21" s="64">
        <v>4.2</v>
      </c>
      <c r="D21" s="52">
        <v>300</v>
      </c>
      <c r="E21" s="65">
        <f t="shared" si="1"/>
        <v>1260</v>
      </c>
      <c r="F21" s="55">
        <v>2.63</v>
      </c>
      <c r="G21" s="67">
        <f t="shared" si="2"/>
        <v>864.6124999999998</v>
      </c>
      <c r="H21" s="56">
        <f t="shared" si="3"/>
        <v>0.6862003968253967</v>
      </c>
      <c r="I21" s="75">
        <f t="shared" si="0"/>
        <v>395.38750000000016</v>
      </c>
    </row>
    <row r="22" spans="1:9" ht="12.75">
      <c r="A22" t="s">
        <v>38</v>
      </c>
      <c r="B22" s="63">
        <v>4</v>
      </c>
      <c r="C22" s="64">
        <v>4.2</v>
      </c>
      <c r="D22" s="71">
        <v>104</v>
      </c>
      <c r="E22" s="71">
        <v>436.8</v>
      </c>
      <c r="F22" s="74">
        <v>0.461</v>
      </c>
      <c r="G22" s="72">
        <v>47.75752808988764</v>
      </c>
      <c r="H22" s="73">
        <v>0.10933500020578672</v>
      </c>
      <c r="I22" s="75">
        <f t="shared" si="0"/>
        <v>389.04247191011234</v>
      </c>
    </row>
    <row r="23" spans="1:9" ht="12.75">
      <c r="A23" t="s">
        <v>37</v>
      </c>
      <c r="B23" s="63">
        <v>4</v>
      </c>
      <c r="C23" s="64">
        <v>4.2</v>
      </c>
      <c r="D23" s="64">
        <v>106</v>
      </c>
      <c r="E23" s="64">
        <f aca="true" t="shared" si="4" ref="E23:E31">C23*D23</f>
        <v>445.20000000000005</v>
      </c>
      <c r="F23" s="66">
        <v>0.533</v>
      </c>
      <c r="G23" s="67">
        <f>1000*(F23)^2/4.5</f>
        <v>63.130888888888904</v>
      </c>
      <c r="H23" s="56">
        <f aca="true" t="shared" si="5" ref="H23:H31">G23/E23</f>
        <v>0.14180343416192476</v>
      </c>
      <c r="I23" s="75">
        <f t="shared" si="0"/>
        <v>382.06911111111117</v>
      </c>
    </row>
    <row r="24" spans="1:9" ht="12.75">
      <c r="A24" t="s">
        <v>38</v>
      </c>
      <c r="B24" s="63">
        <v>8</v>
      </c>
      <c r="C24" s="64">
        <v>4.2</v>
      </c>
      <c r="D24" s="52">
        <v>116</v>
      </c>
      <c r="E24" s="65">
        <f t="shared" si="4"/>
        <v>487.20000000000005</v>
      </c>
      <c r="F24" s="55">
        <v>1.02</v>
      </c>
      <c r="G24" s="67">
        <f aca="true" t="shared" si="6" ref="G24:G30">1000*(F24)^2/B24</f>
        <v>130.05</v>
      </c>
      <c r="H24" s="56">
        <f t="shared" si="5"/>
        <v>0.2669334975369458</v>
      </c>
      <c r="I24" s="75">
        <f t="shared" si="0"/>
        <v>357.15000000000003</v>
      </c>
    </row>
    <row r="25" spans="1:9" ht="12.75">
      <c r="A25" t="s">
        <v>37</v>
      </c>
      <c r="B25" s="63">
        <v>8</v>
      </c>
      <c r="C25" s="64">
        <v>4.2</v>
      </c>
      <c r="D25" s="64">
        <v>140</v>
      </c>
      <c r="E25" s="65">
        <f t="shared" si="4"/>
        <v>588</v>
      </c>
      <c r="F25" s="66">
        <v>1.39</v>
      </c>
      <c r="G25" s="67">
        <f t="shared" si="6"/>
        <v>241.51249999999996</v>
      </c>
      <c r="H25" s="56">
        <f t="shared" si="5"/>
        <v>0.410735544217687</v>
      </c>
      <c r="I25" s="75">
        <f t="shared" si="0"/>
        <v>346.48750000000007</v>
      </c>
    </row>
    <row r="26" spans="1:9" ht="12.75">
      <c r="A26" t="s">
        <v>37</v>
      </c>
      <c r="B26" s="63">
        <v>8</v>
      </c>
      <c r="C26" s="64">
        <v>4.2</v>
      </c>
      <c r="D26" s="64">
        <v>115</v>
      </c>
      <c r="E26" s="65">
        <f t="shared" si="4"/>
        <v>483</v>
      </c>
      <c r="F26" s="66">
        <v>1.06</v>
      </c>
      <c r="G26" s="67">
        <f t="shared" si="6"/>
        <v>140.45000000000002</v>
      </c>
      <c r="H26" s="56">
        <f t="shared" si="5"/>
        <v>0.2907867494824017</v>
      </c>
      <c r="I26" s="75">
        <f t="shared" si="0"/>
        <v>342.54999999999995</v>
      </c>
    </row>
    <row r="27" spans="1:9" ht="12.75">
      <c r="A27" t="s">
        <v>38</v>
      </c>
      <c r="B27" s="63">
        <v>8</v>
      </c>
      <c r="C27" s="64">
        <v>4.2</v>
      </c>
      <c r="D27" s="64">
        <v>386</v>
      </c>
      <c r="E27" s="65">
        <f t="shared" si="4"/>
        <v>1621.2</v>
      </c>
      <c r="F27" s="66">
        <v>3.2</v>
      </c>
      <c r="G27" s="67">
        <f t="shared" si="6"/>
        <v>1280.0000000000002</v>
      </c>
      <c r="H27" s="56">
        <f t="shared" si="5"/>
        <v>0.7895386133728104</v>
      </c>
      <c r="I27" s="75">
        <f t="shared" si="0"/>
        <v>341.1999999999998</v>
      </c>
    </row>
    <row r="28" spans="1:9" ht="12.75">
      <c r="A28" t="s">
        <v>38</v>
      </c>
      <c r="B28" s="63">
        <v>8</v>
      </c>
      <c r="C28" s="64">
        <v>4.2</v>
      </c>
      <c r="D28" s="52">
        <v>92</v>
      </c>
      <c r="E28" s="65">
        <f t="shared" si="4"/>
        <v>386.40000000000003</v>
      </c>
      <c r="F28" s="55">
        <v>0.811</v>
      </c>
      <c r="G28" s="67">
        <f t="shared" si="6"/>
        <v>82.21512500000001</v>
      </c>
      <c r="H28" s="56">
        <f t="shared" si="5"/>
        <v>0.2127720626293996</v>
      </c>
      <c r="I28" s="75">
        <f t="shared" si="0"/>
        <v>304.18487500000003</v>
      </c>
    </row>
    <row r="29" spans="1:9" ht="12.75">
      <c r="A29" t="s">
        <v>37</v>
      </c>
      <c r="B29" s="63">
        <v>8</v>
      </c>
      <c r="C29" s="64">
        <v>4.2</v>
      </c>
      <c r="D29" s="64">
        <v>90</v>
      </c>
      <c r="E29" s="65">
        <f t="shared" si="4"/>
        <v>378</v>
      </c>
      <c r="F29" s="66">
        <v>0.888</v>
      </c>
      <c r="G29" s="67">
        <f t="shared" si="6"/>
        <v>98.568</v>
      </c>
      <c r="H29" s="56">
        <f t="shared" si="5"/>
        <v>0.26076190476190475</v>
      </c>
      <c r="I29" s="75">
        <f t="shared" si="0"/>
        <v>279.432</v>
      </c>
    </row>
    <row r="30" spans="1:9" ht="12.75">
      <c r="A30" t="s">
        <v>38</v>
      </c>
      <c r="B30" s="63">
        <v>8</v>
      </c>
      <c r="C30" s="64">
        <v>4.2</v>
      </c>
      <c r="D30" s="52">
        <v>73</v>
      </c>
      <c r="E30" s="65">
        <f t="shared" si="4"/>
        <v>306.6</v>
      </c>
      <c r="F30" s="55">
        <v>0.644</v>
      </c>
      <c r="G30" s="67">
        <f t="shared" si="6"/>
        <v>51.842000000000006</v>
      </c>
      <c r="H30" s="56">
        <f t="shared" si="5"/>
        <v>0.1690867579908676</v>
      </c>
      <c r="I30" s="75">
        <f t="shared" si="0"/>
        <v>254.758</v>
      </c>
    </row>
    <row r="31" spans="1:9" ht="12.75">
      <c r="A31" t="s">
        <v>37</v>
      </c>
      <c r="B31" s="63">
        <v>4</v>
      </c>
      <c r="C31" s="64">
        <v>4.2</v>
      </c>
      <c r="D31" s="64">
        <v>66</v>
      </c>
      <c r="E31" s="64">
        <f t="shared" si="4"/>
        <v>277.2</v>
      </c>
      <c r="F31" s="66">
        <v>0.333</v>
      </c>
      <c r="G31" s="67">
        <f>1000*(F31)^2/4.5</f>
        <v>24.642000000000003</v>
      </c>
      <c r="H31" s="56">
        <f t="shared" si="5"/>
        <v>0.08889610389610392</v>
      </c>
      <c r="I31" s="75">
        <f t="shared" si="0"/>
        <v>252.558</v>
      </c>
    </row>
    <row r="32" spans="1:9" ht="12.75">
      <c r="A32" t="s">
        <v>38</v>
      </c>
      <c r="B32" s="63">
        <v>4</v>
      </c>
      <c r="C32" s="64">
        <v>4.2</v>
      </c>
      <c r="D32" s="71">
        <v>59</v>
      </c>
      <c r="E32" s="71">
        <v>247.8</v>
      </c>
      <c r="F32" s="74">
        <v>0.26</v>
      </c>
      <c r="G32" s="72">
        <v>15.191011235955058</v>
      </c>
      <c r="H32" s="73">
        <v>0.06130351588359587</v>
      </c>
      <c r="I32" s="75">
        <f t="shared" si="0"/>
        <v>232.60898876404497</v>
      </c>
    </row>
    <row r="33" spans="1:9" ht="12.75">
      <c r="A33" t="s">
        <v>38</v>
      </c>
      <c r="B33" s="63">
        <v>8</v>
      </c>
      <c r="C33" s="64">
        <v>4.2</v>
      </c>
      <c r="D33" s="52">
        <v>58</v>
      </c>
      <c r="E33" s="65">
        <f>C33*D33</f>
        <v>243.60000000000002</v>
      </c>
      <c r="F33" s="55">
        <v>0.512</v>
      </c>
      <c r="G33" s="67">
        <f>1000*(F33)^2/B33</f>
        <v>32.768</v>
      </c>
      <c r="H33" s="56">
        <f>G33/E33</f>
        <v>0.13451559934318555</v>
      </c>
      <c r="I33" s="75">
        <f t="shared" si="0"/>
        <v>210.83200000000002</v>
      </c>
    </row>
    <row r="34" spans="1:9" ht="12.75">
      <c r="A34" t="s">
        <v>37</v>
      </c>
      <c r="B34" s="63">
        <v>8</v>
      </c>
      <c r="C34" s="64">
        <v>4.2</v>
      </c>
      <c r="D34" s="64">
        <v>55</v>
      </c>
      <c r="E34" s="65">
        <f>C34*D34</f>
        <v>231</v>
      </c>
      <c r="F34" s="66">
        <v>0.56</v>
      </c>
      <c r="G34" s="67">
        <f>1000*(F34)^2/B34</f>
        <v>39.2</v>
      </c>
      <c r="H34" s="56">
        <f>G34/E34</f>
        <v>0.1696969696969697</v>
      </c>
      <c r="I34" s="75">
        <f t="shared" si="0"/>
        <v>191.8</v>
      </c>
    </row>
    <row r="35" spans="1:9" ht="12.75">
      <c r="A35" t="s">
        <v>38</v>
      </c>
      <c r="B35" s="63">
        <v>4</v>
      </c>
      <c r="C35" s="64">
        <v>4.2</v>
      </c>
      <c r="D35" s="71">
        <v>47</v>
      </c>
      <c r="E35" s="71">
        <v>197.4</v>
      </c>
      <c r="F35" s="74">
        <v>0.207</v>
      </c>
      <c r="G35" s="72">
        <v>9.628988764044943</v>
      </c>
      <c r="H35" s="73">
        <v>0.048779071753013895</v>
      </c>
      <c r="I35" s="75">
        <f t="shared" si="0"/>
        <v>187.77101123595506</v>
      </c>
    </row>
    <row r="36" spans="1:9" ht="12.75">
      <c r="A36" t="s">
        <v>37</v>
      </c>
      <c r="B36" s="63">
        <v>4</v>
      </c>
      <c r="C36" s="64">
        <v>4.2</v>
      </c>
      <c r="D36" s="64">
        <v>45</v>
      </c>
      <c r="E36" s="64">
        <f>C36*D36</f>
        <v>189</v>
      </c>
      <c r="F36" s="66">
        <v>0.225</v>
      </c>
      <c r="G36" s="67">
        <f>1000*(F36)^2/4.5</f>
        <v>11.25</v>
      </c>
      <c r="H36" s="56">
        <f>G36/E36</f>
        <v>0.05952380952380952</v>
      </c>
      <c r="I36" s="75">
        <f t="shared" si="0"/>
        <v>177.75</v>
      </c>
    </row>
    <row r="37" spans="1:9" ht="12.75">
      <c r="A37" t="s">
        <v>37</v>
      </c>
      <c r="B37" s="63">
        <v>8</v>
      </c>
      <c r="C37" s="64">
        <v>4.2</v>
      </c>
      <c r="D37" s="64">
        <v>38</v>
      </c>
      <c r="E37" s="65">
        <f>C37*D37</f>
        <v>159.6</v>
      </c>
      <c r="F37" s="66">
        <v>0.35</v>
      </c>
      <c r="G37" s="67">
        <f>1000*(F37)^2/B37</f>
        <v>15.312499999999998</v>
      </c>
      <c r="H37" s="56">
        <f>G37/E37</f>
        <v>0.09594298245614034</v>
      </c>
      <c r="I37" s="75">
        <f t="shared" si="0"/>
        <v>144.2875</v>
      </c>
    </row>
    <row r="38" spans="1:9" ht="12.75">
      <c r="A38" t="s">
        <v>38</v>
      </c>
      <c r="B38" s="63">
        <v>8</v>
      </c>
      <c r="C38" s="64">
        <v>4.2</v>
      </c>
      <c r="D38" s="52">
        <v>37</v>
      </c>
      <c r="E38" s="65">
        <f>C38*D38</f>
        <v>155.4</v>
      </c>
      <c r="F38" s="55">
        <v>0.322</v>
      </c>
      <c r="G38" s="67">
        <f>1000*(F38)^2/B38</f>
        <v>12.960500000000001</v>
      </c>
      <c r="H38" s="56">
        <f>G38/E38</f>
        <v>0.08340090090090091</v>
      </c>
      <c r="I38" s="75">
        <f t="shared" si="0"/>
        <v>142.4395</v>
      </c>
    </row>
    <row r="39" spans="1:9" ht="12.75">
      <c r="A39" t="s">
        <v>38</v>
      </c>
      <c r="B39" s="63">
        <v>4</v>
      </c>
      <c r="C39" s="64">
        <v>4.2</v>
      </c>
      <c r="D39" s="71">
        <v>27</v>
      </c>
      <c r="E39" s="71">
        <v>113.4</v>
      </c>
      <c r="F39" s="74">
        <v>0.118</v>
      </c>
      <c r="G39" s="72">
        <v>3.1289887640449434</v>
      </c>
      <c r="H39" s="73">
        <v>0.027592493510096502</v>
      </c>
      <c r="I39" s="75">
        <f t="shared" si="0"/>
        <v>110.27101123595506</v>
      </c>
    </row>
    <row r="40" spans="1:9" ht="12.75">
      <c r="A40" t="s">
        <v>37</v>
      </c>
      <c r="B40" s="63">
        <v>8</v>
      </c>
      <c r="C40" s="64">
        <v>4.2</v>
      </c>
      <c r="D40" s="64">
        <v>23</v>
      </c>
      <c r="E40" s="65">
        <f>C40*D40</f>
        <v>96.60000000000001</v>
      </c>
      <c r="F40" s="66">
        <v>0.231</v>
      </c>
      <c r="G40" s="67">
        <f>1000*(F40)^2/B40</f>
        <v>6.6701250000000005</v>
      </c>
      <c r="H40" s="56">
        <f>G40/E40</f>
        <v>0.06904891304347827</v>
      </c>
      <c r="I40" s="75">
        <f t="shared" si="0"/>
        <v>89.92987500000001</v>
      </c>
    </row>
    <row r="41" spans="1:9" ht="12.75">
      <c r="A41" t="s">
        <v>38</v>
      </c>
      <c r="B41" s="63">
        <v>8</v>
      </c>
      <c r="C41" s="64">
        <v>4.2</v>
      </c>
      <c r="D41" s="52">
        <v>20</v>
      </c>
      <c r="E41" s="65">
        <f>C41*D41</f>
        <v>84</v>
      </c>
      <c r="F41" s="55">
        <v>0.171</v>
      </c>
      <c r="G41" s="67">
        <f>1000*(F41)^2/B41</f>
        <v>3.6551250000000004</v>
      </c>
      <c r="H41" s="56">
        <f>G41/E41</f>
        <v>0.04351339285714286</v>
      </c>
      <c r="I41" s="75">
        <f t="shared" si="0"/>
        <v>80.344875</v>
      </c>
    </row>
    <row r="42" spans="1:9" ht="12.75">
      <c r="A42" t="s">
        <v>37</v>
      </c>
      <c r="B42" s="63">
        <v>4</v>
      </c>
      <c r="C42" s="64">
        <v>4.2</v>
      </c>
      <c r="D42" s="64">
        <v>18.5</v>
      </c>
      <c r="E42" s="64">
        <f>C42*D42</f>
        <v>77.7</v>
      </c>
      <c r="F42" s="66">
        <v>0.093</v>
      </c>
      <c r="G42" s="67">
        <f>1000*(F42)^2/4.5</f>
        <v>1.9220000000000002</v>
      </c>
      <c r="H42" s="56">
        <f>G42/E42</f>
        <v>0.024736164736164738</v>
      </c>
      <c r="I42" s="75">
        <f t="shared" si="0"/>
        <v>75.778</v>
      </c>
    </row>
    <row r="43" spans="1:9" ht="12.75">
      <c r="A43" t="s">
        <v>38</v>
      </c>
      <c r="B43" s="63">
        <v>4</v>
      </c>
      <c r="C43" s="64">
        <v>4.2</v>
      </c>
      <c r="D43" s="71">
        <v>15</v>
      </c>
      <c r="E43" s="71">
        <v>63</v>
      </c>
      <c r="F43" s="74">
        <v>0.068</v>
      </c>
      <c r="G43" s="72">
        <v>1.0391011235955057</v>
      </c>
      <c r="H43" s="73">
        <v>0.01649366862850009</v>
      </c>
      <c r="I43" s="75">
        <f t="shared" si="0"/>
        <v>61.96089887640449</v>
      </c>
    </row>
    <row r="44" spans="1:9" ht="12.75">
      <c r="A44" t="s">
        <v>38</v>
      </c>
      <c r="B44" s="63">
        <v>8</v>
      </c>
      <c r="C44" s="64">
        <v>4.2</v>
      </c>
      <c r="D44" s="52">
        <v>15</v>
      </c>
      <c r="E44" s="65">
        <f>C44*D44</f>
        <v>63</v>
      </c>
      <c r="F44" s="55">
        <v>0.129</v>
      </c>
      <c r="G44" s="67">
        <f>1000*(F44)^2/B44</f>
        <v>2.080125</v>
      </c>
      <c r="H44" s="56">
        <f>G44/E44</f>
        <v>0.03301785714285714</v>
      </c>
      <c r="I44" s="75">
        <f t="shared" si="0"/>
        <v>60.919875</v>
      </c>
    </row>
    <row r="45" spans="1:9" ht="12.75">
      <c r="A45" t="s">
        <v>37</v>
      </c>
      <c r="B45" s="63">
        <v>8</v>
      </c>
      <c r="C45" s="64">
        <v>4.2</v>
      </c>
      <c r="D45" s="64">
        <v>9</v>
      </c>
      <c r="E45" s="65">
        <f>C45*D45</f>
        <v>37.800000000000004</v>
      </c>
      <c r="F45" s="66">
        <v>0.089</v>
      </c>
      <c r="G45" s="67">
        <f>1000*(F45)^2/B45</f>
        <v>0.9901249999999999</v>
      </c>
      <c r="H45" s="56">
        <f>G45/E45</f>
        <v>0.026193783068783064</v>
      </c>
      <c r="I45" s="75">
        <f t="shared" si="0"/>
        <v>36.809875000000005</v>
      </c>
    </row>
    <row r="46" spans="1:9" ht="12.75">
      <c r="A46" t="s">
        <v>38</v>
      </c>
      <c r="B46" s="63">
        <v>8</v>
      </c>
      <c r="C46" s="64">
        <v>4.2</v>
      </c>
      <c r="D46" s="52">
        <v>7.9</v>
      </c>
      <c r="E46" s="65">
        <f>C46*D46</f>
        <v>33.18</v>
      </c>
      <c r="F46" s="55">
        <v>0.066</v>
      </c>
      <c r="G46" s="67">
        <f>1000*(F46)^2/B46</f>
        <v>0.5445000000000001</v>
      </c>
      <c r="H46" s="56">
        <f>G46/E46</f>
        <v>0.016410488245931287</v>
      </c>
      <c r="I46" s="75">
        <f t="shared" si="0"/>
        <v>32.6355</v>
      </c>
    </row>
    <row r="47" spans="1:9" ht="12.75">
      <c r="A47" t="s">
        <v>38</v>
      </c>
      <c r="B47" s="63">
        <v>4</v>
      </c>
      <c r="C47" s="64">
        <v>4.2</v>
      </c>
      <c r="D47" s="71">
        <v>7</v>
      </c>
      <c r="E47" s="71">
        <v>29.4</v>
      </c>
      <c r="F47" s="74">
        <v>0.032</v>
      </c>
      <c r="G47" s="72">
        <v>0.2301123595505618</v>
      </c>
      <c r="H47" s="73">
        <v>0.007826951005121149</v>
      </c>
      <c r="I47" s="75">
        <f t="shared" si="0"/>
        <v>29.16988764044944</v>
      </c>
    </row>
    <row r="48" spans="1:9" ht="12.75">
      <c r="A48" t="s">
        <v>37</v>
      </c>
      <c r="B48" s="63">
        <v>8</v>
      </c>
      <c r="C48" s="64">
        <v>4.2</v>
      </c>
      <c r="D48" s="64">
        <v>4.5</v>
      </c>
      <c r="E48" s="65">
        <f>C48*D48</f>
        <v>18.900000000000002</v>
      </c>
      <c r="F48" s="66">
        <v>0.038</v>
      </c>
      <c r="G48" s="67">
        <f>1000*(F48)^2/B48</f>
        <v>0.1805</v>
      </c>
      <c r="H48" s="56">
        <f>G48/E48</f>
        <v>0.009550264550264548</v>
      </c>
      <c r="I48" s="75">
        <f t="shared" si="0"/>
        <v>18.719500000000004</v>
      </c>
    </row>
    <row r="49" spans="1:9" ht="12.75">
      <c r="A49" t="s">
        <v>38</v>
      </c>
      <c r="B49" s="63">
        <v>8</v>
      </c>
      <c r="C49" s="64">
        <v>4.2</v>
      </c>
      <c r="D49" s="52">
        <v>2.4</v>
      </c>
      <c r="E49" s="65">
        <f>C49*D49</f>
        <v>10.08</v>
      </c>
      <c r="F49" s="55">
        <v>0.017</v>
      </c>
      <c r="G49" s="67">
        <f>1000*(F49)^2/B49</f>
        <v>0.036125000000000004</v>
      </c>
      <c r="H49" s="56">
        <f>G49/E49</f>
        <v>0.0035838293650793654</v>
      </c>
      <c r="I49" s="75">
        <f t="shared" si="0"/>
        <v>10.043875</v>
      </c>
    </row>
    <row r="50" spans="3:8" ht="12.75">
      <c r="C50" s="52"/>
      <c r="D50" s="52"/>
      <c r="E50" s="52"/>
      <c r="F50" s="52"/>
      <c r="G50" s="52"/>
      <c r="H50" s="52"/>
    </row>
  </sheetData>
  <sheetProtection sheet="1" objects="1" scenarios="1" selectLockedCells="1" selectUnlockedCells="1"/>
  <autoFilter ref="A1:I50"/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7"/>
  <sheetViews>
    <sheetView workbookViewId="0" topLeftCell="A1">
      <selection activeCell="A59" sqref="A59"/>
    </sheetView>
  </sheetViews>
  <sheetFormatPr defaultColWidth="9.140625" defaultRowHeight="12.75"/>
  <cols>
    <col min="1" max="1" width="67.7109375" style="35" bestFit="1" customWidth="1"/>
    <col min="2" max="2" width="17.8515625" style="33" customWidth="1"/>
    <col min="3" max="3" width="19.7109375" style="33" customWidth="1"/>
    <col min="4" max="4" width="106.00390625" style="0" customWidth="1"/>
    <col min="5" max="5" width="32.00390625" style="0" customWidth="1"/>
  </cols>
  <sheetData>
    <row r="1" spans="1:5" ht="13.5" thickBot="1">
      <c r="A1" s="40" t="s">
        <v>69</v>
      </c>
      <c r="B1" s="30" t="s">
        <v>1</v>
      </c>
      <c r="C1" s="44" t="s">
        <v>52</v>
      </c>
      <c r="D1" s="41" t="s">
        <v>53</v>
      </c>
      <c r="E1" s="34"/>
    </row>
    <row r="2" spans="1:4" ht="12.75">
      <c r="A2" s="36" t="s">
        <v>58</v>
      </c>
      <c r="B2" s="42" t="s">
        <v>54</v>
      </c>
      <c r="C2" s="45" t="s">
        <v>56</v>
      </c>
      <c r="D2" s="37" t="s">
        <v>71</v>
      </c>
    </row>
    <row r="3" spans="1:4" ht="12.75">
      <c r="A3" s="36" t="s">
        <v>59</v>
      </c>
      <c r="B3" s="42" t="s">
        <v>55</v>
      </c>
      <c r="C3" s="45" t="s">
        <v>57</v>
      </c>
      <c r="D3" s="37"/>
    </row>
    <row r="4" spans="1:4" ht="12.75">
      <c r="A4" s="36" t="s">
        <v>63</v>
      </c>
      <c r="B4" s="42" t="s">
        <v>60</v>
      </c>
      <c r="C4" s="45" t="s">
        <v>62</v>
      </c>
      <c r="D4" s="37" t="s">
        <v>64</v>
      </c>
    </row>
    <row r="5" spans="1:4" ht="12.75">
      <c r="A5" s="36" t="s">
        <v>61</v>
      </c>
      <c r="B5" s="42" t="s">
        <v>4</v>
      </c>
      <c r="C5" s="45" t="s">
        <v>3</v>
      </c>
      <c r="D5" s="37" t="s">
        <v>70</v>
      </c>
    </row>
    <row r="6" spans="1:4" ht="12.75">
      <c r="A6" s="36" t="s">
        <v>65</v>
      </c>
      <c r="B6" s="42" t="s">
        <v>67</v>
      </c>
      <c r="C6" s="45" t="s">
        <v>68</v>
      </c>
      <c r="D6" s="37"/>
    </row>
    <row r="7" spans="1:4" ht="13.5" thickBot="1">
      <c r="A7" s="38" t="s">
        <v>66</v>
      </c>
      <c r="B7" s="43" t="s">
        <v>68</v>
      </c>
      <c r="C7" s="46" t="s">
        <v>67</v>
      </c>
      <c r="D7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52">
      <selection activeCell="M90" sqref="M90"/>
    </sheetView>
  </sheetViews>
  <sheetFormatPr defaultColWidth="9.140625" defaultRowHeight="12.75"/>
  <cols>
    <col min="4" max="4" width="9.28125" style="0" customWidth="1"/>
    <col min="5" max="5" width="14.28125" style="0" customWidth="1"/>
    <col min="6" max="11" width="9.28125" style="0" bestFit="1" customWidth="1"/>
    <col min="12" max="12" width="10.421875" style="0" customWidth="1"/>
    <col min="13" max="13" width="71.421875" style="0" bestFit="1" customWidth="1"/>
  </cols>
  <sheetData>
    <row r="1" spans="6:12" ht="12.75">
      <c r="F1" s="206" t="s">
        <v>175</v>
      </c>
      <c r="G1" s="206"/>
      <c r="H1" s="206"/>
      <c r="I1" s="206"/>
      <c r="J1" s="206"/>
      <c r="K1" s="206"/>
      <c r="L1" s="206"/>
    </row>
    <row r="2" spans="6:11" ht="12.75">
      <c r="F2" s="206" t="s">
        <v>204</v>
      </c>
      <c r="G2" s="206"/>
      <c r="H2" s="206"/>
      <c r="I2" s="206"/>
      <c r="J2" s="206"/>
      <c r="K2" s="206"/>
    </row>
    <row r="3" spans="1:13" s="103" customFormat="1" ht="38.25">
      <c r="A3" s="103" t="s">
        <v>40</v>
      </c>
      <c r="B3" s="103" t="s">
        <v>179</v>
      </c>
      <c r="C3" s="103" t="s">
        <v>180</v>
      </c>
      <c r="D3" s="103" t="s">
        <v>181</v>
      </c>
      <c r="E3" s="103" t="s">
        <v>174</v>
      </c>
      <c r="F3" s="103">
        <v>4.2</v>
      </c>
      <c r="G3" s="103">
        <v>4</v>
      </c>
      <c r="H3" s="103">
        <v>3.8</v>
      </c>
      <c r="I3" s="103">
        <v>3.6</v>
      </c>
      <c r="J3" s="103">
        <v>3.4</v>
      </c>
      <c r="K3" s="103">
        <v>3.2</v>
      </c>
      <c r="L3" s="103" t="s">
        <v>182</v>
      </c>
      <c r="M3" s="103" t="s">
        <v>205</v>
      </c>
    </row>
    <row r="4" spans="1:13" ht="12.75">
      <c r="A4" s="102">
        <v>52.5</v>
      </c>
      <c r="B4" s="102">
        <v>156</v>
      </c>
      <c r="C4" s="102">
        <v>88</v>
      </c>
      <c r="D4" s="102">
        <v>323</v>
      </c>
      <c r="E4" t="s">
        <v>206</v>
      </c>
      <c r="F4" s="123">
        <v>0.9155328798185941</v>
      </c>
      <c r="G4" s="123">
        <v>0.9176136363636364</v>
      </c>
      <c r="H4" s="123">
        <v>0.913978494623656</v>
      </c>
      <c r="I4" s="123">
        <v>0.9155328798185941</v>
      </c>
      <c r="J4" s="123">
        <v>0.9178743961352658</v>
      </c>
      <c r="K4" s="123">
        <v>0.9134615384615384</v>
      </c>
      <c r="L4" s="123">
        <f>AVERAGE(F4:J4)</f>
        <v>0.9161064573519493</v>
      </c>
      <c r="M4" t="str">
        <f>"PDDD="&amp;A4&amp;"mW"&amp;","&amp;"PDDIO="&amp;B4&amp;"mW"&amp;","&amp;"PDDA="&amp;C4&amp;"mW"&amp;","&amp;"DCDC Mode="&amp;E4</f>
        <v>PDDD=52.5mW,PDDIO=156mW,PDDA=88mW,DCDC Mode=Normal FETs</v>
      </c>
    </row>
    <row r="5" spans="1:13" ht="12.75">
      <c r="A5" s="102">
        <v>52.5</v>
      </c>
      <c r="B5" s="102">
        <v>670.8</v>
      </c>
      <c r="C5" s="102">
        <v>359.04</v>
      </c>
      <c r="D5" s="102">
        <v>1108.84</v>
      </c>
      <c r="E5" t="s">
        <v>206</v>
      </c>
      <c r="F5" s="123">
        <v>0.7479023337380278</v>
      </c>
      <c r="G5" s="123">
        <v>0.7392266666666668</v>
      </c>
      <c r="H5" s="123">
        <v>0.7204938271604939</v>
      </c>
      <c r="I5" s="123">
        <v>0.6968577174459528</v>
      </c>
      <c r="J5" s="123">
        <v>0.6575189753320685</v>
      </c>
      <c r="K5" s="123">
        <v>0.5873093220338984</v>
      </c>
      <c r="L5" s="123">
        <f aca="true" t="shared" si="0" ref="L5:L15">AVERAGE(F5:J5)</f>
        <v>0.712399904068642</v>
      </c>
      <c r="M5" t="str">
        <f aca="true" t="shared" si="1" ref="M5:M15">"PDDD="&amp;A5&amp;"mW"&amp;","&amp;"PDDIO="&amp;B5&amp;"mW"&amp;","&amp;"PDDA="&amp;C5&amp;"mW"&amp;","&amp;"DCDC Mode="&amp;E5</f>
        <v>PDDD=52.5mW,PDDIO=670.8mW,PDDA=359.04mW,DCDC Mode=Normal FETs</v>
      </c>
    </row>
    <row r="6" spans="1:13" ht="12.75">
      <c r="A6" s="102">
        <v>52.5</v>
      </c>
      <c r="B6" s="102">
        <v>670.8</v>
      </c>
      <c r="C6" s="102">
        <v>88</v>
      </c>
      <c r="D6" s="102">
        <v>837.8</v>
      </c>
      <c r="E6" t="s">
        <v>206</v>
      </c>
      <c r="F6" s="123">
        <v>0.8488348530901723</v>
      </c>
      <c r="G6" s="123">
        <v>0.8445564516129033</v>
      </c>
      <c r="H6" s="123">
        <v>0.8415026114905586</v>
      </c>
      <c r="I6" s="123">
        <v>0.8252561071710008</v>
      </c>
      <c r="J6" s="123">
        <v>0.8026441847097147</v>
      </c>
      <c r="K6" s="123">
        <v>0.7610828488372094</v>
      </c>
      <c r="L6" s="123">
        <f t="shared" si="0"/>
        <v>0.8325588416148699</v>
      </c>
      <c r="M6" t="str">
        <f t="shared" si="1"/>
        <v>PDDD=52.5mW,PDDIO=670.8mW,PDDA=88mW,DCDC Mode=Normal FETs</v>
      </c>
    </row>
    <row r="7" spans="1:13" ht="12.75">
      <c r="A7" s="102">
        <v>52.5</v>
      </c>
      <c r="B7" s="102">
        <v>156</v>
      </c>
      <c r="C7" s="102">
        <v>369.6</v>
      </c>
      <c r="D7" s="102">
        <v>604.6</v>
      </c>
      <c r="E7" t="s">
        <v>206</v>
      </c>
      <c r="F7" s="123">
        <v>0.7909471480900053</v>
      </c>
      <c r="G7" s="123">
        <v>0.7955263157894737</v>
      </c>
      <c r="H7" s="123">
        <v>0.7876498176133404</v>
      </c>
      <c r="I7" s="123">
        <v>0.788471570161711</v>
      </c>
      <c r="J7" s="123">
        <v>0.773145780051151</v>
      </c>
      <c r="K7" s="123">
        <v>0.7711734693877551</v>
      </c>
      <c r="L7" s="123">
        <f t="shared" si="0"/>
        <v>0.7871481263411363</v>
      </c>
      <c r="M7" t="str">
        <f t="shared" si="1"/>
        <v>PDDD=52.5mW,PDDIO=156mW,PDDA=369.6mW,DCDC Mode=Normal FETs</v>
      </c>
    </row>
    <row r="8" spans="1:13" ht="12.75">
      <c r="A8" s="102">
        <v>128</v>
      </c>
      <c r="B8" s="102">
        <v>156</v>
      </c>
      <c r="C8" s="102">
        <v>88</v>
      </c>
      <c r="D8" s="102">
        <v>398.5</v>
      </c>
      <c r="E8" t="s">
        <v>206</v>
      </c>
      <c r="F8" s="123">
        <v>0.8625541125541125</v>
      </c>
      <c r="G8" s="123">
        <v>0.866304347826087</v>
      </c>
      <c r="H8" s="123">
        <v>0.866681165724228</v>
      </c>
      <c r="I8" s="123">
        <v>0.8648003472222222</v>
      </c>
      <c r="J8" s="123">
        <v>0.8618079584775087</v>
      </c>
      <c r="K8" s="123">
        <v>0.8529537671232876</v>
      </c>
      <c r="L8" s="123">
        <f t="shared" si="0"/>
        <v>0.8644295863608317</v>
      </c>
      <c r="M8" t="str">
        <f t="shared" si="1"/>
        <v>PDDD=128mW,PDDIO=156mW,PDDA=88mW,DCDC Mode=Normal FETs</v>
      </c>
    </row>
    <row r="9" spans="1:13" ht="12.75">
      <c r="A9" s="102">
        <v>128</v>
      </c>
      <c r="B9" s="102">
        <v>624</v>
      </c>
      <c r="C9" s="102">
        <v>343.2</v>
      </c>
      <c r="D9" s="102">
        <v>1121.7</v>
      </c>
      <c r="E9" t="s">
        <v>206</v>
      </c>
      <c r="F9" s="123">
        <v>0.7297033567525371</v>
      </c>
      <c r="G9" s="123">
        <v>0.7264896373056995</v>
      </c>
      <c r="H9" s="123">
        <v>0.7028195488721805</v>
      </c>
      <c r="I9" s="123">
        <v>0.6773550724637681</v>
      </c>
      <c r="J9" s="123">
        <v>0.6418516823071642</v>
      </c>
      <c r="K9" s="123">
        <v>0.574641393442623</v>
      </c>
      <c r="L9" s="123">
        <f t="shared" si="0"/>
        <v>0.6956438595402699</v>
      </c>
      <c r="M9" t="str">
        <f t="shared" si="1"/>
        <v>PDDD=128mW,PDDIO=624mW,PDDA=343.2mW,DCDC Mode=Normal FETs</v>
      </c>
    </row>
    <row r="10" spans="1:13" ht="12.75">
      <c r="A10" s="102">
        <v>128</v>
      </c>
      <c r="B10" s="102">
        <v>624</v>
      </c>
      <c r="C10" s="102">
        <v>88</v>
      </c>
      <c r="D10" s="102">
        <v>866.5</v>
      </c>
      <c r="E10" t="s">
        <v>206</v>
      </c>
      <c r="F10" s="123">
        <v>0.8090569561157797</v>
      </c>
      <c r="G10" s="123">
        <v>0.8052973977695167</v>
      </c>
      <c r="H10" s="123">
        <v>0.805746698902734</v>
      </c>
      <c r="I10" s="123">
        <v>0.7865831517792301</v>
      </c>
      <c r="J10" s="123">
        <v>0.7630327580133851</v>
      </c>
      <c r="K10" s="123">
        <v>0.7298685983827493</v>
      </c>
      <c r="L10" s="123">
        <f t="shared" si="0"/>
        <v>0.7939433925161291</v>
      </c>
      <c r="M10" t="str">
        <f t="shared" si="1"/>
        <v>PDDD=128mW,PDDIO=624mW,PDDA=88mW,DCDC Mode=Normal FETs</v>
      </c>
    </row>
    <row r="11" spans="1:13" ht="12.75">
      <c r="A11" s="102">
        <v>128</v>
      </c>
      <c r="B11" s="102">
        <v>156</v>
      </c>
      <c r="C11" s="102">
        <v>343.2</v>
      </c>
      <c r="D11" s="102">
        <v>653.7</v>
      </c>
      <c r="E11" t="s">
        <v>206</v>
      </c>
      <c r="F11" s="123">
        <v>0.7743425728500356</v>
      </c>
      <c r="G11" s="123">
        <v>0.7601162790697675</v>
      </c>
      <c r="H11" s="123">
        <v>0.7611783884489987</v>
      </c>
      <c r="I11" s="123">
        <v>0.7565972222222223</v>
      </c>
      <c r="J11" s="123">
        <v>0.7690588235294118</v>
      </c>
      <c r="K11" s="123">
        <v>0.7428409090909092</v>
      </c>
      <c r="L11" s="123">
        <f t="shared" si="0"/>
        <v>0.7642586572240871</v>
      </c>
      <c r="M11" t="str">
        <f t="shared" si="1"/>
        <v>PDDD=128mW,PDDIO=156mW,PDDA=343.2mW,DCDC Mode=Normal FETs</v>
      </c>
    </row>
    <row r="12" spans="1:13" ht="12.75">
      <c r="A12" s="102">
        <v>232.5</v>
      </c>
      <c r="B12" s="102">
        <v>156</v>
      </c>
      <c r="C12" s="102">
        <v>88</v>
      </c>
      <c r="D12" s="102">
        <v>503</v>
      </c>
      <c r="E12" t="s">
        <v>178</v>
      </c>
      <c r="F12" s="123">
        <v>0.8554421768707483</v>
      </c>
      <c r="G12" s="123">
        <v>0.8554421768707483</v>
      </c>
      <c r="H12" s="123">
        <v>0.8595352016404649</v>
      </c>
      <c r="I12" s="123">
        <v>0.8519647696476965</v>
      </c>
      <c r="J12" s="123">
        <v>0.8502366463826909</v>
      </c>
      <c r="K12" s="123">
        <v>0.8450940860215053</v>
      </c>
      <c r="L12" s="123">
        <f t="shared" si="0"/>
        <v>0.8545241942824697</v>
      </c>
      <c r="M12" t="str">
        <f t="shared" si="1"/>
        <v>PDDD=232.5mW,PDDIO=156mW,PDDA=88mW,DCDC Mode=Double FETs</v>
      </c>
    </row>
    <row r="13" spans="1:13" ht="12.75">
      <c r="A13" s="102">
        <v>232.5</v>
      </c>
      <c r="B13" s="102">
        <v>617.76</v>
      </c>
      <c r="C13" s="102">
        <v>360.8</v>
      </c>
      <c r="D13" s="102">
        <v>1237.56</v>
      </c>
      <c r="E13" t="s">
        <v>178</v>
      </c>
      <c r="F13" s="123">
        <v>0.7169273548835592</v>
      </c>
      <c r="G13" s="123">
        <v>0.7063698630136986</v>
      </c>
      <c r="H13" s="123">
        <v>0.7033988859838581</v>
      </c>
      <c r="I13" s="123">
        <v>0.6807260726072607</v>
      </c>
      <c r="J13" s="123">
        <v>0.6499789915966386</v>
      </c>
      <c r="K13" s="123">
        <v>0.5904389312977099</v>
      </c>
      <c r="L13" s="123">
        <f t="shared" si="0"/>
        <v>0.6914802336170031</v>
      </c>
      <c r="M13" t="str">
        <f t="shared" si="1"/>
        <v>PDDD=232.5mW,PDDIO=617.76mW,PDDA=360.8mW,DCDC Mode=Double FETs</v>
      </c>
    </row>
    <row r="14" spans="1:13" ht="13.5" customHeight="1">
      <c r="A14" s="102">
        <v>232.5</v>
      </c>
      <c r="B14" s="102">
        <v>617.76</v>
      </c>
      <c r="C14" s="102">
        <v>88</v>
      </c>
      <c r="D14" s="102">
        <v>964.76</v>
      </c>
      <c r="E14" t="s">
        <v>178</v>
      </c>
      <c r="F14" s="123">
        <v>0.8003650240584038</v>
      </c>
      <c r="G14" s="123">
        <v>0.7933881578947368</v>
      </c>
      <c r="H14" s="123">
        <v>0.7884602811376267</v>
      </c>
      <c r="I14" s="123">
        <v>0.7813087139617753</v>
      </c>
      <c r="J14" s="123">
        <v>0.7566745098039216</v>
      </c>
      <c r="K14" s="123">
        <v>0.7389399509803921</v>
      </c>
      <c r="L14" s="123">
        <f t="shared" si="0"/>
        <v>0.7840393373712928</v>
      </c>
      <c r="M14" t="str">
        <f t="shared" si="1"/>
        <v>PDDD=232.5mW,PDDIO=617.76mW,PDDA=88mW,DCDC Mode=Double FETs</v>
      </c>
    </row>
    <row r="15" spans="1:13" ht="12.75">
      <c r="A15" s="102">
        <v>232.5</v>
      </c>
      <c r="B15" s="102">
        <v>156</v>
      </c>
      <c r="C15" s="102">
        <v>360.8</v>
      </c>
      <c r="D15" s="102">
        <v>775.8</v>
      </c>
      <c r="E15" t="s">
        <v>178</v>
      </c>
      <c r="F15" s="123">
        <v>0.7215401785714285</v>
      </c>
      <c r="G15" s="123">
        <v>0.7183333333333333</v>
      </c>
      <c r="H15" s="123">
        <v>0.7163434903047091</v>
      </c>
      <c r="I15" s="123">
        <v>0.7112211221122112</v>
      </c>
      <c r="J15" s="123">
        <v>0.7086225794665693</v>
      </c>
      <c r="K15" s="123">
        <v>0.7027173913043477</v>
      </c>
      <c r="L15" s="123">
        <f t="shared" si="0"/>
        <v>0.7152121407576502</v>
      </c>
      <c r="M15" t="str">
        <f t="shared" si="1"/>
        <v>PDDD=232.5mW,PDDIO=156mW,PDDA=360.8mW,DCDC Mode=Double FETs</v>
      </c>
    </row>
  </sheetData>
  <mergeCells count="2">
    <mergeCell ref="F1:L1"/>
    <mergeCell ref="F2:K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V24"/>
  <sheetViews>
    <sheetView workbookViewId="0" topLeftCell="A1">
      <selection activeCell="J17" sqref="J1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7.57421875" style="0" bestFit="1" customWidth="1"/>
    <col min="4" max="4" width="8.57421875" style="0" customWidth="1"/>
    <col min="5" max="5" width="7.8515625" style="0" customWidth="1"/>
    <col min="6" max="6" width="7.00390625" style="0" customWidth="1"/>
    <col min="7" max="11" width="7.7109375" style="0" customWidth="1"/>
    <col min="12" max="12" width="9.00390625" style="0" bestFit="1" customWidth="1"/>
    <col min="13" max="13" width="8.57421875" style="0" bestFit="1" customWidth="1"/>
    <col min="14" max="14" width="9.00390625" style="0" bestFit="1" customWidth="1"/>
    <col min="21" max="21" width="12.421875" style="0" customWidth="1"/>
    <col min="22" max="22" width="9.8515625" style="0" customWidth="1"/>
    <col min="24" max="24" width="21.28125" style="0" customWidth="1"/>
  </cols>
  <sheetData>
    <row r="3" spans="2:20" s="29" customFormat="1" ht="15.75">
      <c r="B3" s="29" t="s">
        <v>44</v>
      </c>
      <c r="R3" s="81" t="s">
        <v>122</v>
      </c>
      <c r="S3" s="82"/>
      <c r="T3" s="82"/>
    </row>
    <row r="4" ht="12.75">
      <c r="B4" t="s">
        <v>49</v>
      </c>
    </row>
    <row r="5" ht="13.5" thickBot="1"/>
    <row r="6" spans="2:22" ht="77.25" thickBot="1">
      <c r="B6" s="4" t="s">
        <v>24</v>
      </c>
      <c r="C6" s="6" t="s">
        <v>39</v>
      </c>
      <c r="D6" s="5" t="s">
        <v>40</v>
      </c>
      <c r="E6" s="4" t="s">
        <v>41</v>
      </c>
      <c r="F6" s="6" t="s">
        <v>42</v>
      </c>
      <c r="G6" s="5" t="s">
        <v>43</v>
      </c>
      <c r="H6" s="4" t="s">
        <v>46</v>
      </c>
      <c r="I6" s="6" t="s">
        <v>47</v>
      </c>
      <c r="J6" s="5" t="s">
        <v>48</v>
      </c>
      <c r="K6" s="6" t="s">
        <v>50</v>
      </c>
      <c r="L6" s="6" t="s">
        <v>25</v>
      </c>
      <c r="M6" s="6" t="s">
        <v>26</v>
      </c>
      <c r="N6" s="6" t="s">
        <v>27</v>
      </c>
      <c r="O6" s="5" t="s">
        <v>28</v>
      </c>
      <c r="P6" s="4" t="s">
        <v>29</v>
      </c>
      <c r="Q6" s="5" t="s">
        <v>30</v>
      </c>
      <c r="R6" s="4" t="s">
        <v>31</v>
      </c>
      <c r="S6" s="6" t="s">
        <v>32</v>
      </c>
      <c r="T6" s="6" t="s">
        <v>33</v>
      </c>
      <c r="U6" s="5" t="s">
        <v>34</v>
      </c>
      <c r="V6" s="83" t="s">
        <v>123</v>
      </c>
    </row>
    <row r="7" spans="2:21" s="17" customFormat="1" ht="12.75">
      <c r="B7" s="20"/>
      <c r="C7" s="21"/>
      <c r="D7" s="21"/>
      <c r="E7" s="20"/>
      <c r="F7" s="21"/>
      <c r="G7" s="22"/>
      <c r="H7" s="21"/>
      <c r="I7" s="21"/>
      <c r="J7" s="22"/>
      <c r="K7" s="21"/>
      <c r="L7" s="23"/>
      <c r="M7" s="24"/>
      <c r="N7" s="25"/>
      <c r="O7" s="25"/>
      <c r="P7" s="24"/>
      <c r="Q7" s="25"/>
      <c r="R7" s="24"/>
      <c r="S7" s="25"/>
      <c r="T7" s="25"/>
      <c r="U7" s="26"/>
    </row>
    <row r="8" spans="2:21" s="17" customFormat="1" ht="12.75">
      <c r="B8" s="7"/>
      <c r="C8" s="8"/>
      <c r="D8" s="8"/>
      <c r="E8" s="7"/>
      <c r="F8" s="8"/>
      <c r="G8" s="18"/>
      <c r="H8" s="8"/>
      <c r="I8" s="8"/>
      <c r="J8" s="18"/>
      <c r="K8" s="8"/>
      <c r="L8" s="31"/>
      <c r="M8" s="10"/>
      <c r="N8" s="32"/>
      <c r="O8" s="32"/>
      <c r="P8" s="10"/>
      <c r="Q8" s="32"/>
      <c r="R8" s="10"/>
      <c r="S8" s="32"/>
      <c r="T8" s="32"/>
      <c r="U8" s="27"/>
    </row>
    <row r="9" spans="2:22" ht="12.75">
      <c r="B9" s="7">
        <v>1.066</v>
      </c>
      <c r="C9" s="8">
        <v>32.6</v>
      </c>
      <c r="D9" s="8">
        <f>B9*C9</f>
        <v>34.7516</v>
      </c>
      <c r="E9" s="7">
        <v>2.545</v>
      </c>
      <c r="F9" s="8">
        <v>3.9</v>
      </c>
      <c r="G9" s="18">
        <f>E9*F9</f>
        <v>9.9255</v>
      </c>
      <c r="H9" s="8">
        <v>2.545</v>
      </c>
      <c r="I9" s="8">
        <v>30.5</v>
      </c>
      <c r="J9" s="18">
        <f>H9*I9</f>
        <v>77.6225</v>
      </c>
      <c r="K9" s="8" t="s">
        <v>51</v>
      </c>
      <c r="L9" s="31" t="s">
        <v>124</v>
      </c>
      <c r="M9" s="10">
        <f>(480*18)/(O9*N9)</f>
        <v>64</v>
      </c>
      <c r="N9" s="11">
        <v>5</v>
      </c>
      <c r="O9" s="11">
        <v>27</v>
      </c>
      <c r="P9" s="10">
        <f>M9/Q9</f>
        <v>64</v>
      </c>
      <c r="Q9" s="11">
        <v>1</v>
      </c>
      <c r="R9" s="77">
        <f>(480*18)/(T9*S9)</f>
        <v>48</v>
      </c>
      <c r="S9" s="78">
        <v>6</v>
      </c>
      <c r="T9" s="78">
        <v>30</v>
      </c>
      <c r="U9" s="27" t="s">
        <v>21</v>
      </c>
      <c r="V9" s="11">
        <v>66138</v>
      </c>
    </row>
    <row r="10" spans="2:22" ht="12.75">
      <c r="B10" s="7">
        <v>1.294</v>
      </c>
      <c r="C10" s="8">
        <v>96.8</v>
      </c>
      <c r="D10" s="8">
        <f>B10*C10</f>
        <v>125.2592</v>
      </c>
      <c r="E10" s="7">
        <v>2.545</v>
      </c>
      <c r="F10" s="8">
        <v>7.4</v>
      </c>
      <c r="G10" s="18">
        <f>E10*F10</f>
        <v>18.833000000000002</v>
      </c>
      <c r="H10" s="8">
        <v>2.545</v>
      </c>
      <c r="I10" s="8">
        <v>29.8</v>
      </c>
      <c r="J10" s="18">
        <f>H10*I10</f>
        <v>75.841</v>
      </c>
      <c r="K10" s="8" t="s">
        <v>51</v>
      </c>
      <c r="L10" s="9" t="s">
        <v>35</v>
      </c>
      <c r="M10" s="10">
        <f>(480*18)/(O10*N10)</f>
        <v>261.8181818181818</v>
      </c>
      <c r="N10" s="11">
        <v>1</v>
      </c>
      <c r="O10" s="11">
        <v>33</v>
      </c>
      <c r="P10" s="10">
        <f>M10/Q10</f>
        <v>130.9090909090909</v>
      </c>
      <c r="Q10" s="11">
        <v>2</v>
      </c>
      <c r="R10" s="10">
        <f>(480*18)/(T10*S10)</f>
        <v>130.9090909090909</v>
      </c>
      <c r="S10" s="11">
        <v>2</v>
      </c>
      <c r="T10" s="11">
        <v>33</v>
      </c>
      <c r="U10" s="27" t="s">
        <v>21</v>
      </c>
      <c r="V10" s="11">
        <v>274725</v>
      </c>
    </row>
    <row r="11" spans="2:22" ht="12.75">
      <c r="B11" s="7">
        <v>1.398</v>
      </c>
      <c r="C11" s="8">
        <v>121.4</v>
      </c>
      <c r="D11" s="8">
        <f>B11*C11</f>
        <v>169.7172</v>
      </c>
      <c r="E11" s="7">
        <v>2.55</v>
      </c>
      <c r="F11" s="8">
        <v>7.9</v>
      </c>
      <c r="G11" s="18">
        <f>E11*F11</f>
        <v>20.145</v>
      </c>
      <c r="H11" s="8">
        <v>2.55</v>
      </c>
      <c r="I11" s="8">
        <v>32.5</v>
      </c>
      <c r="J11" s="18">
        <f>H11*I11</f>
        <v>82.875</v>
      </c>
      <c r="K11" s="8" t="s">
        <v>51</v>
      </c>
      <c r="L11" s="9" t="s">
        <v>35</v>
      </c>
      <c r="M11" s="10">
        <f>(480*18)/(O11*N11)</f>
        <v>360</v>
      </c>
      <c r="N11" s="11">
        <v>1</v>
      </c>
      <c r="O11" s="11">
        <v>24</v>
      </c>
      <c r="P11" s="10">
        <f>M11/Q11</f>
        <v>120</v>
      </c>
      <c r="Q11" s="11">
        <v>3</v>
      </c>
      <c r="R11" s="10">
        <f>(480*18)/(T11*S11)</f>
        <v>120</v>
      </c>
      <c r="S11" s="11">
        <v>3</v>
      </c>
      <c r="T11" s="11">
        <v>24</v>
      </c>
      <c r="U11" s="27" t="s">
        <v>21</v>
      </c>
      <c r="V11" s="11">
        <v>377644</v>
      </c>
    </row>
    <row r="12" spans="2:22" ht="12.75">
      <c r="B12" s="7">
        <v>1.47</v>
      </c>
      <c r="C12" s="8">
        <v>140.1</v>
      </c>
      <c r="D12" s="8">
        <f>B12*C12</f>
        <v>205.94699999999997</v>
      </c>
      <c r="E12" s="7">
        <v>2.55</v>
      </c>
      <c r="F12" s="8">
        <v>8.6</v>
      </c>
      <c r="G12" s="18">
        <f>E12*F12</f>
        <v>21.929999999999996</v>
      </c>
      <c r="H12" s="8">
        <v>2.55</v>
      </c>
      <c r="I12" s="8">
        <v>32.9</v>
      </c>
      <c r="J12" s="18">
        <f>H12*I12</f>
        <v>83.895</v>
      </c>
      <c r="K12" s="8" t="s">
        <v>51</v>
      </c>
      <c r="L12" s="9" t="s">
        <v>35</v>
      </c>
      <c r="M12" s="10">
        <f>(480*18)/(O12*N12)</f>
        <v>392.72727272727275</v>
      </c>
      <c r="N12" s="11">
        <v>1</v>
      </c>
      <c r="O12" s="11">
        <v>22</v>
      </c>
      <c r="P12" s="10">
        <f>M12/Q12</f>
        <v>130.9090909090909</v>
      </c>
      <c r="Q12" s="11">
        <v>3</v>
      </c>
      <c r="R12" s="10">
        <f>(480*18)/(T12*S12)</f>
        <v>130.9090909090909</v>
      </c>
      <c r="S12" s="78">
        <v>2</v>
      </c>
      <c r="T12" s="78">
        <v>33</v>
      </c>
      <c r="U12" s="27" t="s">
        <v>21</v>
      </c>
      <c r="V12" s="11">
        <v>412201</v>
      </c>
    </row>
    <row r="13" spans="2:21" ht="13.5" thickBot="1">
      <c r="B13" s="12">
        <v>1.57</v>
      </c>
      <c r="C13" s="13">
        <v>173.7</v>
      </c>
      <c r="D13" s="13">
        <f>B13*C13</f>
        <v>272.709</v>
      </c>
      <c r="E13" s="12">
        <v>2.55</v>
      </c>
      <c r="F13" s="13">
        <v>9.7</v>
      </c>
      <c r="G13" s="19">
        <f>E13*F13</f>
        <v>24.734999999999996</v>
      </c>
      <c r="H13" s="13">
        <v>2.55</v>
      </c>
      <c r="I13" s="13">
        <v>35.8</v>
      </c>
      <c r="J13" s="19">
        <f>H13*I13</f>
        <v>91.28999999999999</v>
      </c>
      <c r="K13" s="13" t="s">
        <v>51</v>
      </c>
      <c r="L13" s="14" t="s">
        <v>35</v>
      </c>
      <c r="M13" s="15">
        <f>(480*18)/(O13*N13)</f>
        <v>454.7368421052632</v>
      </c>
      <c r="N13" s="16">
        <v>1</v>
      </c>
      <c r="O13" s="16">
        <v>19</v>
      </c>
      <c r="P13" s="15">
        <f>M13/Q13</f>
        <v>151.57894736842107</v>
      </c>
      <c r="Q13" s="16">
        <v>3</v>
      </c>
      <c r="R13" s="79">
        <f>(480*18)/(T13*S13)</f>
        <v>151.57894736842104</v>
      </c>
      <c r="S13" s="80">
        <v>3</v>
      </c>
      <c r="T13" s="80">
        <v>19</v>
      </c>
      <c r="U13" s="28" t="s">
        <v>21</v>
      </c>
    </row>
    <row r="14" ht="13.5" thickBot="1"/>
    <row r="15" spans="2:21" ht="64.5" thickBot="1">
      <c r="B15" s="4" t="s">
        <v>24</v>
      </c>
      <c r="C15" s="6" t="s">
        <v>39</v>
      </c>
      <c r="D15" s="5" t="s">
        <v>40</v>
      </c>
      <c r="E15" s="4" t="s">
        <v>41</v>
      </c>
      <c r="F15" s="6" t="s">
        <v>42</v>
      </c>
      <c r="G15" s="5" t="s">
        <v>43</v>
      </c>
      <c r="H15" s="4" t="s">
        <v>46</v>
      </c>
      <c r="I15" s="6" t="s">
        <v>47</v>
      </c>
      <c r="J15" s="5" t="s">
        <v>48</v>
      </c>
      <c r="K15" s="6" t="s">
        <v>50</v>
      </c>
      <c r="L15" s="6" t="s">
        <v>25</v>
      </c>
      <c r="M15" s="6" t="s">
        <v>26</v>
      </c>
      <c r="N15" s="6" t="s">
        <v>27</v>
      </c>
      <c r="O15" s="5" t="s">
        <v>28</v>
      </c>
      <c r="P15" s="4" t="s">
        <v>29</v>
      </c>
      <c r="Q15" s="5" t="s">
        <v>30</v>
      </c>
      <c r="R15" s="4" t="s">
        <v>31</v>
      </c>
      <c r="S15" s="6" t="s">
        <v>32</v>
      </c>
      <c r="T15" s="6" t="s">
        <v>33</v>
      </c>
      <c r="U15" s="5" t="s">
        <v>34</v>
      </c>
    </row>
    <row r="16" spans="2:21" s="17" customFormat="1" ht="12.75">
      <c r="B16" s="20"/>
      <c r="C16" s="21"/>
      <c r="D16" s="22"/>
      <c r="E16" s="20"/>
      <c r="F16" s="21"/>
      <c r="G16" s="22"/>
      <c r="H16" s="20"/>
      <c r="I16" s="21"/>
      <c r="J16" s="22"/>
      <c r="K16" s="21"/>
      <c r="L16" s="23"/>
      <c r="M16" s="24"/>
      <c r="N16" s="25"/>
      <c r="O16" s="25"/>
      <c r="P16" s="24"/>
      <c r="Q16" s="25"/>
      <c r="R16" s="24"/>
      <c r="S16" s="25"/>
      <c r="T16" s="25"/>
      <c r="U16" s="26"/>
    </row>
    <row r="17" spans="2:21" s="17" customFormat="1" ht="12.75">
      <c r="B17" s="7">
        <v>1.066</v>
      </c>
      <c r="C17" s="8">
        <v>15.1</v>
      </c>
      <c r="D17" s="18">
        <f aca="true" t="shared" si="0" ref="D17:D22">B17*C17</f>
        <v>16.096600000000002</v>
      </c>
      <c r="E17" s="7">
        <v>1.773</v>
      </c>
      <c r="F17" s="8">
        <v>0.5</v>
      </c>
      <c r="G17" s="18">
        <f aca="true" t="shared" si="1" ref="G17:G22">E17*F17</f>
        <v>0.8865</v>
      </c>
      <c r="H17" s="7">
        <v>1.773</v>
      </c>
      <c r="I17" s="8">
        <v>3</v>
      </c>
      <c r="J17" s="18">
        <f aca="true" t="shared" si="2" ref="J17:J22">H17*I17</f>
        <v>5.319</v>
      </c>
      <c r="K17" s="8" t="s">
        <v>232</v>
      </c>
      <c r="L17" s="31"/>
      <c r="M17" s="10">
        <v>24</v>
      </c>
      <c r="N17" s="32"/>
      <c r="O17" s="32"/>
      <c r="P17" s="10">
        <v>24</v>
      </c>
      <c r="Q17" s="32"/>
      <c r="R17" s="10">
        <v>24</v>
      </c>
      <c r="S17" s="32"/>
      <c r="T17" s="32"/>
      <c r="U17" s="27" t="s">
        <v>22</v>
      </c>
    </row>
    <row r="18" spans="2:21" ht="12.75">
      <c r="B18" s="7">
        <v>1.066</v>
      </c>
      <c r="C18" s="8">
        <v>32.3</v>
      </c>
      <c r="D18" s="18">
        <f t="shared" si="0"/>
        <v>34.431799999999996</v>
      </c>
      <c r="E18" s="7">
        <v>1.773</v>
      </c>
      <c r="F18" s="8">
        <v>2.76</v>
      </c>
      <c r="G18" s="18">
        <f t="shared" si="1"/>
        <v>4.893479999999999</v>
      </c>
      <c r="H18" s="7">
        <v>1.773</v>
      </c>
      <c r="I18" s="8">
        <v>11.9</v>
      </c>
      <c r="J18" s="18">
        <f t="shared" si="2"/>
        <v>21.0987</v>
      </c>
      <c r="K18" s="8" t="s">
        <v>51</v>
      </c>
      <c r="L18" s="9">
        <v>11</v>
      </c>
      <c r="M18" s="10">
        <f>(480*18)/(O18*N18)</f>
        <v>64</v>
      </c>
      <c r="N18" s="11">
        <v>5</v>
      </c>
      <c r="O18" s="11">
        <v>27</v>
      </c>
      <c r="P18" s="10">
        <f>M18/Q18</f>
        <v>64</v>
      </c>
      <c r="Q18" s="11">
        <v>1</v>
      </c>
      <c r="R18" s="77">
        <f>(480*18)/(T18*S18)</f>
        <v>48</v>
      </c>
      <c r="S18" s="78">
        <v>6</v>
      </c>
      <c r="T18" s="78">
        <v>30</v>
      </c>
      <c r="U18" s="27" t="s">
        <v>22</v>
      </c>
    </row>
    <row r="19" spans="2:21" ht="12.75">
      <c r="B19" s="7">
        <v>1.295</v>
      </c>
      <c r="C19" s="8">
        <v>96.2</v>
      </c>
      <c r="D19" s="18">
        <f t="shared" si="0"/>
        <v>124.579</v>
      </c>
      <c r="E19" s="7">
        <v>1.774</v>
      </c>
      <c r="F19" s="8">
        <v>5.4</v>
      </c>
      <c r="G19" s="18">
        <f t="shared" si="1"/>
        <v>9.579600000000001</v>
      </c>
      <c r="H19" s="7">
        <v>1.774</v>
      </c>
      <c r="I19" s="8">
        <v>15.8</v>
      </c>
      <c r="J19" s="18">
        <f t="shared" si="2"/>
        <v>28.029200000000003</v>
      </c>
      <c r="K19" s="8" t="s">
        <v>51</v>
      </c>
      <c r="L19" s="9" t="s">
        <v>35</v>
      </c>
      <c r="M19" s="10">
        <f>(480*18)/(O19*N19)</f>
        <v>261.8181818181818</v>
      </c>
      <c r="N19" s="11">
        <v>1</v>
      </c>
      <c r="O19" s="11">
        <v>33</v>
      </c>
      <c r="P19" s="10">
        <f>M19/Q19</f>
        <v>130.9090909090909</v>
      </c>
      <c r="Q19" s="11">
        <v>2</v>
      </c>
      <c r="R19" s="10">
        <f>(480*18)/(T19*S19)</f>
        <v>130.9090909090909</v>
      </c>
      <c r="S19" s="11">
        <v>2</v>
      </c>
      <c r="T19" s="11">
        <v>33</v>
      </c>
      <c r="U19" s="27" t="s">
        <v>22</v>
      </c>
    </row>
    <row r="20" spans="2:21" ht="12.75">
      <c r="B20" s="7">
        <v>1.395</v>
      </c>
      <c r="C20" s="8">
        <v>120.8</v>
      </c>
      <c r="D20" s="18">
        <f t="shared" si="0"/>
        <v>168.516</v>
      </c>
      <c r="E20" s="7">
        <v>1.775</v>
      </c>
      <c r="F20" s="8">
        <v>6</v>
      </c>
      <c r="G20" s="18">
        <f t="shared" si="1"/>
        <v>10.649999999999999</v>
      </c>
      <c r="H20" s="7">
        <v>1.775</v>
      </c>
      <c r="I20" s="8">
        <v>17.7</v>
      </c>
      <c r="J20" s="18">
        <f t="shared" si="2"/>
        <v>31.417499999999997</v>
      </c>
      <c r="K20" s="8" t="s">
        <v>51</v>
      </c>
      <c r="L20" s="9" t="s">
        <v>35</v>
      </c>
      <c r="M20" s="10">
        <f>(480*18)/(O20*N20)</f>
        <v>360</v>
      </c>
      <c r="N20" s="11">
        <v>1</v>
      </c>
      <c r="O20" s="11">
        <v>24</v>
      </c>
      <c r="P20" s="10">
        <f>M20/Q20</f>
        <v>120</v>
      </c>
      <c r="Q20" s="11">
        <v>3</v>
      </c>
      <c r="R20" s="10">
        <f>(480*18)/(T20*S20)</f>
        <v>120</v>
      </c>
      <c r="S20" s="11">
        <v>3</v>
      </c>
      <c r="T20" s="11">
        <v>24</v>
      </c>
      <c r="U20" s="27" t="s">
        <v>22</v>
      </c>
    </row>
    <row r="21" spans="2:21" ht="12.75">
      <c r="B21" s="7">
        <v>1.47</v>
      </c>
      <c r="C21" s="8">
        <v>139.5</v>
      </c>
      <c r="D21" s="18">
        <f t="shared" si="0"/>
        <v>205.065</v>
      </c>
      <c r="E21" s="7">
        <v>1.775</v>
      </c>
      <c r="F21" s="8">
        <v>6.3</v>
      </c>
      <c r="G21" s="18">
        <f t="shared" si="1"/>
        <v>11.1825</v>
      </c>
      <c r="H21" s="7">
        <v>1.775</v>
      </c>
      <c r="I21" s="8">
        <v>18</v>
      </c>
      <c r="J21" s="18">
        <f t="shared" si="2"/>
        <v>31.95</v>
      </c>
      <c r="K21" s="8" t="s">
        <v>51</v>
      </c>
      <c r="L21" s="9" t="s">
        <v>35</v>
      </c>
      <c r="M21" s="10">
        <f>(480*18)/(O21*N21)</f>
        <v>392.72727272727275</v>
      </c>
      <c r="N21" s="11">
        <v>1</v>
      </c>
      <c r="O21" s="11">
        <v>22</v>
      </c>
      <c r="P21" s="10">
        <f>M21/Q21</f>
        <v>130.9090909090909</v>
      </c>
      <c r="Q21" s="11">
        <v>3</v>
      </c>
      <c r="R21" s="10">
        <f>(480*18)/(T21*S21)</f>
        <v>130.9090909090909</v>
      </c>
      <c r="S21" s="78">
        <v>2</v>
      </c>
      <c r="T21" s="78">
        <v>33</v>
      </c>
      <c r="U21" s="27" t="s">
        <v>22</v>
      </c>
    </row>
    <row r="22" spans="2:21" ht="13.5" thickBot="1">
      <c r="B22" s="12">
        <v>1.573</v>
      </c>
      <c r="C22" s="13">
        <v>173.5</v>
      </c>
      <c r="D22" s="19">
        <f t="shared" si="0"/>
        <v>272.9155</v>
      </c>
      <c r="E22" s="12">
        <v>1.776</v>
      </c>
      <c r="F22" s="13">
        <v>7.08</v>
      </c>
      <c r="G22" s="19">
        <f t="shared" si="1"/>
        <v>12.57408</v>
      </c>
      <c r="H22" s="12">
        <v>1.776</v>
      </c>
      <c r="I22" s="13">
        <v>19</v>
      </c>
      <c r="J22" s="19">
        <f t="shared" si="2"/>
        <v>33.744</v>
      </c>
      <c r="K22" s="13" t="s">
        <v>51</v>
      </c>
      <c r="L22" s="14" t="s">
        <v>35</v>
      </c>
      <c r="M22" s="15">
        <f>(480*18)/(O22*N22)</f>
        <v>454.7368421052632</v>
      </c>
      <c r="N22" s="16">
        <v>1</v>
      </c>
      <c r="O22" s="16">
        <v>19</v>
      </c>
      <c r="P22" s="15">
        <f>M22/Q22</f>
        <v>151.57894736842107</v>
      </c>
      <c r="Q22" s="16">
        <v>3</v>
      </c>
      <c r="R22" s="15">
        <f>(480*18)/(T22*S22)</f>
        <v>151.57894736842104</v>
      </c>
      <c r="S22" s="16">
        <v>3</v>
      </c>
      <c r="T22" s="16">
        <v>19</v>
      </c>
      <c r="U22" s="28" t="s">
        <v>22</v>
      </c>
    </row>
    <row r="24" spans="2:3" ht="12.75">
      <c r="B24" t="s">
        <v>125</v>
      </c>
      <c r="C24">
        <v>4.2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LJackson</dc:creator>
  <cp:keywords/>
  <dc:description/>
  <cp:lastModifiedBy>Sujata Neidig</cp:lastModifiedBy>
  <dcterms:created xsi:type="dcterms:W3CDTF">2008-08-21T14:15:11Z</dcterms:created>
  <dcterms:modified xsi:type="dcterms:W3CDTF">2010-01-08T22:54:03Z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-1845037124</vt:i4>
  </property>
  <property fmtid="{D5CDD505-2E9C-101B-9397-08002B2CF9AE}" pid="4" name="_EmailSubject">
    <vt:lpwstr>i.MX233 Power Consumption Tool</vt:lpwstr>
  </property>
  <property fmtid="{D5CDD505-2E9C-101B-9397-08002B2CF9AE}" pid="5" name="_AuthorEmail">
    <vt:lpwstr>B18817@freescale.com</vt:lpwstr>
  </property>
  <property fmtid="{D5CDD505-2E9C-101B-9397-08002B2CF9AE}" pid="6" name="_AuthorEmailDisplayName">
    <vt:lpwstr>Williamson Matt-B18817</vt:lpwstr>
  </property>
  <property fmtid="{D5CDD505-2E9C-101B-9397-08002B2CF9AE}" pid="7" name="_ReviewingToolsShownOnce">
    <vt:lpwstr/>
  </property>
</Properties>
</file>