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xa13750\Documents\Documents\Documents\Freescale\Analog and Sensors\Launches\Analog\VR5500\"/>
    </mc:Choice>
  </mc:AlternateContent>
  <xr:revisionPtr revIDLastSave="0" documentId="13_ncr:1_{D8A3CC30-051B-4866-AE66-FF3DA7EB2098}" xr6:coauthVersionLast="41" xr6:coauthVersionMax="41" xr10:uidLastSave="{00000000-0000-0000-0000-000000000000}"/>
  <bookViews>
    <workbookView xWindow="-120" yWindow="-120" windowWidth="20730" windowHeight="11160" tabRatio="704" xr2:uid="{00000000-000D-0000-FFFF-FFFF00000000}"/>
  </bookViews>
  <sheets>
    <sheet name="Document_Details" sheetId="13" r:id="rId1"/>
    <sheet name="Revision_History" sheetId="12" r:id="rId2"/>
    <sheet name="User_Guide" sheetId="11" r:id="rId3"/>
    <sheet name="VR5500_PDTCALC" sheetId="18" r:id="rId4"/>
    <sheet name="System_PDTCALC" sheetId="19" r:id="rId5"/>
    <sheet name="VR5500_VPRE_VBOOST_Components" sheetId="21" r:id="rId6"/>
  </sheets>
  <definedNames>
    <definedName name="Boost" localSheetId="3">VR5500_PDTCALC!$R$13</definedName>
    <definedName name="Boost_Imax" localSheetId="3">VR5500_PDTCALC!$N$4</definedName>
    <definedName name="Buck1" localSheetId="3">VR5500_PDTCALC!$I$45</definedName>
    <definedName name="Buck1_Imax" localSheetId="3">VR5500_PDTCALC!$F$4</definedName>
    <definedName name="Buck2" localSheetId="3">VR5500_PDTCALC!$R$45</definedName>
    <definedName name="Buck2_Imax" localSheetId="3">VR5500_PDTCALC!$H$4</definedName>
    <definedName name="Buck3" localSheetId="3">VR5500_PDTCALC!$AA$45</definedName>
    <definedName name="Buck3_Imax" localSheetId="3">VR5500_PDTCALC!$I$4</definedName>
    <definedName name="Cin_Boost" localSheetId="3">VR5500_PDTCALC!$L$11</definedName>
    <definedName name="Cin_Buck1" localSheetId="3">VR5500_PDTCALC!$C$43</definedName>
    <definedName name="Cin_Buck2" localSheetId="3">VR5500_PDTCALC!$L$43</definedName>
    <definedName name="Cin_Buck3" localSheetId="3">VR5500_PDTCALC!$U$43</definedName>
    <definedName name="Cin_Vpre" localSheetId="3">VR5500_PDTCALC!$C$11</definedName>
    <definedName name="Cout_Boost" localSheetId="3">VR5500_PDTCALC!$L$13</definedName>
    <definedName name="Cout_Buck1" localSheetId="3">VR5500_PDTCALC!$C$45</definedName>
    <definedName name="Cout_Buck2" localSheetId="3">VR5500_PDTCALC!$L$45</definedName>
    <definedName name="Cout_Buck3" localSheetId="3">VR5500_PDTCALC!$U$45</definedName>
    <definedName name="Cout_Vpre" localSheetId="3">VR5500_PDTCALC!$C$13</definedName>
    <definedName name="DCR_L_Boost" localSheetId="3">VR5500_PDTCALC!$L$16</definedName>
    <definedName name="DCR_L_Buck1" localSheetId="3">VR5500_PDTCALC!$C$48</definedName>
    <definedName name="DCR_L_Buck2" localSheetId="3">VR5500_PDTCALC!$L$48</definedName>
    <definedName name="DCR_L_Buck3" localSheetId="3">VR5500_PDTCALC!$U$48</definedName>
    <definedName name="DCR_L_Vpre" localSheetId="3">VR5500_PDTCALC!$C$16</definedName>
    <definedName name="DCR_PI_filter">System_PDTCALC!$C$10</definedName>
    <definedName name="Delta_Il_Boost" localSheetId="3">VR5500_PDTCALC!$O$35</definedName>
    <definedName name="Delta_Il_Buck1" localSheetId="3">VR5500_PDTCALC!$F$60</definedName>
    <definedName name="Delta_Il_Buck2" localSheetId="3">VR5500_PDTCALC!$O$60</definedName>
    <definedName name="Delta_IL_Buck3" localSheetId="3">VR5500_PDTCALC!$X$60</definedName>
    <definedName name="Delta_Il_Vpre" localSheetId="3">VR5500_PDTCALC!$F$35</definedName>
    <definedName name="Duty_Cycle_Boost" localSheetId="3">VR5500_PDTCALC!$O$28</definedName>
    <definedName name="Duty_Cycle_Buck1" localSheetId="3">VR5500_PDTCALC!$F$53</definedName>
    <definedName name="Duty_Cycle_Buck2" localSheetId="3">VR5500_PDTCALC!$O$53</definedName>
    <definedName name="Duty_Cycle_Buck3" localSheetId="3">VR5500_PDTCALC!$X$53</definedName>
    <definedName name="Duty_Cycle_Vpre" localSheetId="3">VR5500_PDTCALC!$F$28</definedName>
    <definedName name="Eff_Boost" localSheetId="3">VR5500_PDTCALC!$L$37</definedName>
    <definedName name="Eff_Buck1" localSheetId="3">VR5500_PDTCALC!$C$62</definedName>
    <definedName name="Eff_Buck2" localSheetId="3">VR5500_PDTCALC!$L$62</definedName>
    <definedName name="Eff_Buck3" localSheetId="3">VR5500_PDTCALC!$U$62</definedName>
    <definedName name="Eff_LDO1" localSheetId="3">VR5500_PDTCALC!$U$32</definedName>
    <definedName name="Eff_LDO2" localSheetId="3">VR5500_PDTCALC!$X$32</definedName>
    <definedName name="Eff_Vpre" localSheetId="3">VR5500_PDTCALC!$C$37</definedName>
    <definedName name="ESR_Cin_Boost" localSheetId="3">VR5500_PDTCALC!$L$12</definedName>
    <definedName name="ESR_Cin_Buck1" localSheetId="3">VR5500_PDTCALC!$C$44</definedName>
    <definedName name="ESR_Cin_Buck2" localSheetId="3">VR5500_PDTCALC!$L$44</definedName>
    <definedName name="ESR_Cin_Buck3" localSheetId="3">VR5500_PDTCALC!$U$44</definedName>
    <definedName name="ESR_Cin_Vpre" localSheetId="3">VR5500_PDTCALC!$C$12</definedName>
    <definedName name="ESR_Cout_Boost" localSheetId="3">VR5500_PDTCALC!$L$14</definedName>
    <definedName name="ESR_Cout_Buck1" localSheetId="3">VR5500_PDTCALC!$C$46</definedName>
    <definedName name="ESR_Cout_Buck2" localSheetId="3">VR5500_PDTCALC!$L$46</definedName>
    <definedName name="ESR_Cout_Buck3" localSheetId="3">VR5500_PDTCALC!$U$46</definedName>
    <definedName name="ESR_Cout_Vpre" localSheetId="3">VR5500_PDTCALC!$C$14</definedName>
    <definedName name="FSW_Boost" localSheetId="3">VR5500_PDTCALC!$R$21</definedName>
    <definedName name="FSW_Buck1" localSheetId="3">VR5500_PDTCALC!$I$50</definedName>
    <definedName name="FSW_Buck2" localSheetId="3">VR5500_PDTCALC!$R$50</definedName>
    <definedName name="FSW_Buck3" localSheetId="3">VR5500_PDTCALC!$AA$50</definedName>
    <definedName name="FSW_Vpre" localSheetId="3">VR5500_PDTCALC!$I$20</definedName>
    <definedName name="GHS_Buck1" localSheetId="3">VR5500_PDTCALC!$F$46</definedName>
    <definedName name="GHS_Buck2" localSheetId="3">VR5500_PDTCALC!$O$46</definedName>
    <definedName name="GHS_Buck3" localSheetId="3">VR5500_PDTCALC!$X$46</definedName>
    <definedName name="GHS_Vpre" localSheetId="3">VR5500_PDTCALC!$F$11</definedName>
    <definedName name="GLS_Boost" localSheetId="3">VR5500_PDTCALC!$O$11</definedName>
    <definedName name="GLS_Buck1" localSheetId="3">VR5500_PDTCALC!$F$50</definedName>
    <definedName name="GLS_Buck2" localSheetId="3">VR5500_PDTCALC!$O$50</definedName>
    <definedName name="GLS_Buck3" localSheetId="3">VR5500_PDTCALC!$X$50</definedName>
    <definedName name="GLS_Vpre" localSheetId="3">VR5500_PDTCALC!$F$18</definedName>
    <definedName name="HS_Igate_Vpre">VR5500_PDTCALC!$F$16</definedName>
    <definedName name="HS_QGD_Vpre">VR5500_PDTCALC!$F$14</definedName>
    <definedName name="HS_QGS_Vpre">VR5500_PDTCALC!$F$15</definedName>
    <definedName name="HS_Rdson_Buck1" localSheetId="3">VR5500_PDTCALC!$F$43</definedName>
    <definedName name="HS_Rdson_Buck2" localSheetId="3">VR5500_PDTCALC!$O$43</definedName>
    <definedName name="HS_Rdson_Buck3" localSheetId="3">VR5500_PDTCALC!$X$43</definedName>
    <definedName name="HS_Rdson_Vpre" localSheetId="3">VR5500_PDTCALC!$F$12</definedName>
    <definedName name="I_LDO1" localSheetId="3">VR5500_PDTCALC!$U$13</definedName>
    <definedName name="I_LDO2" localSheetId="3">VR5500_PDTCALC!$X$13</definedName>
    <definedName name="I_LDO3">System_PDTCALC!$F$10</definedName>
    <definedName name="I_LDO4">System_PDTCALC!$I$10</definedName>
    <definedName name="Iboost" localSheetId="3">VR5500_PDTCALC!$R$16</definedName>
    <definedName name="Iboost_add">VR5500_PDTCALC!$R$17</definedName>
    <definedName name="Iboost_in" localSheetId="3">VR5500_PDTCALC!$R$14</definedName>
    <definedName name="Iboost_tot">VR5500_PDTCALC!$R$18</definedName>
    <definedName name="Ibuck1" localSheetId="3">VR5500_PDTCALC!$I$47</definedName>
    <definedName name="Ibuck2" localSheetId="3">VR5500_PDTCALC!$R$47</definedName>
    <definedName name="Ibuck3" localSheetId="3">VR5500_PDTCALC!$AA$47</definedName>
    <definedName name="Ibuck3_tot" localSheetId="3">VR5500_PDTCALC!$AA$48</definedName>
    <definedName name="Ipeak_Boost" localSheetId="3">VR5500_PDTCALC!$O$36</definedName>
    <definedName name="Ipeak_Buck1" localSheetId="3">VR5500_PDTCALC!$F$61</definedName>
    <definedName name="Ipeak_Buck2" localSheetId="3">VR5500_PDTCALC!$O$61</definedName>
    <definedName name="Ipeak_Buck3" localSheetId="3">VR5500_PDTCALC!$X$61</definedName>
    <definedName name="Ipeak_Vpre" localSheetId="3">VR5500_PDTCALC!$F$36</definedName>
    <definedName name="Ipre" localSheetId="3">VR5500_PDTCALC!$I$15</definedName>
    <definedName name="Ipre_add" localSheetId="3">VR5500_PDTCALC!$I$16</definedName>
    <definedName name="ISUP">System_PDTCALC!$C$8</definedName>
    <definedName name="L_Boost" localSheetId="3">VR5500_PDTCALC!$L$15</definedName>
    <definedName name="L_Buck1" localSheetId="3">VR5500_PDTCALC!$C$47</definedName>
    <definedName name="L_Buck2" localSheetId="3">VR5500_PDTCALC!$L$47</definedName>
    <definedName name="L_Buck3" localSheetId="3">VR5500_PDTCALC!$U$47</definedName>
    <definedName name="L_Vpre" localSheetId="3">VR5500_PDTCALC!$C$15</definedName>
    <definedName name="LDO1_Imax" localSheetId="3">VR5500_PDTCALC!$K$4</definedName>
    <definedName name="LDO1_in" localSheetId="3">VR5500_PDTCALC!$U$11</definedName>
    <definedName name="LDO2_Imax" localSheetId="3">VR5500_PDTCALC!$L$4</definedName>
    <definedName name="LDO3_in">System_PDTCALC!$F$8</definedName>
    <definedName name="LDO3_out">System_PDTCALC!$F$9</definedName>
    <definedName name="LDO4_in">System_PDTCALC!$I$8</definedName>
    <definedName name="LDO4_out">System_PDTCALC!$I$9</definedName>
    <definedName name="LS_Igate_Vpre">VR5500_PDTCALC!$F$23</definedName>
    <definedName name="LS_QGD_Vpre">VR5500_PDTCALC!$F$21</definedName>
    <definedName name="LS_QGS_Vpre">VR5500_PDTCALC!$F$22</definedName>
    <definedName name="LS_Rdson_Boost" localSheetId="3">VR5500_PDTCALC!$O$12</definedName>
    <definedName name="LS_Rdson_Buck1" localSheetId="3">VR5500_PDTCALC!$F$47</definedName>
    <definedName name="LS_Rdson_Buck2" localSheetId="3">VR5500_PDTCALC!$O$47</definedName>
    <definedName name="LS_Rdson_Buck3" localSheetId="3">VR5500_PDTCALC!$X$47</definedName>
    <definedName name="LS_Rdson_Vpre" localSheetId="3">VR5500_PDTCALC!$F$19</definedName>
    <definedName name="LS_SlewRate">VR5500_PDTCALC!$O$14</definedName>
    <definedName name="P_Cin_Boost" localSheetId="3">VR5500_PDTCALC!$O$30</definedName>
    <definedName name="P_Cin_Buck1" localSheetId="3">VR5500_PDTCALC!$F$55</definedName>
    <definedName name="P_Cin_Buck2" localSheetId="3">VR5500_PDTCALC!$O$55</definedName>
    <definedName name="P_Cin_Buck3" localSheetId="3">VR5500_PDTCALC!$X$55</definedName>
    <definedName name="P_Cin_Vpre" localSheetId="3">VR5500_PDTCALC!$F$30</definedName>
    <definedName name="P_Cout_Boost" localSheetId="3">VR5500_PDTCALC!$O$31</definedName>
    <definedName name="P_Cout_Buck1" localSheetId="3">VR5500_PDTCALC!$F$56</definedName>
    <definedName name="P_Cout_Buck2" localSheetId="3">VR5500_PDTCALC!$O$56</definedName>
    <definedName name="P_Cout_Buck3" localSheetId="3">VR5500_PDTCALC!$X$56</definedName>
    <definedName name="P_Cout_Vpre" localSheetId="3">VR5500_PDTCALC!$F$31</definedName>
    <definedName name="P_diode_Boost" localSheetId="3">VR5500_PDTCALC!$L$32</definedName>
    <definedName name="P_HS_Cond_Buck1" localSheetId="3">VR5500_PDTCALC!$C$55</definedName>
    <definedName name="P_HS_cond_Buck2" localSheetId="3">VR5500_PDTCALC!$L$55</definedName>
    <definedName name="P_HS_cond_Buck3" localSheetId="3">VR5500_PDTCALC!$U$55</definedName>
    <definedName name="P_HS_Cond_Vpre" localSheetId="3">VR5500_PDTCALC!$C$30</definedName>
    <definedName name="P_HS_sw_Buck1" localSheetId="3">VR5500_PDTCALC!$C$56</definedName>
    <definedName name="P_HS_sw_Buck2" localSheetId="3">VR5500_PDTCALC!$L$56</definedName>
    <definedName name="P_HS_sw_Buck3" localSheetId="3">VR5500_PDTCALC!$U$56</definedName>
    <definedName name="P_HS_sw_Vpre" localSheetId="3">VR5500_PDTCALC!$C$31</definedName>
    <definedName name="P_L_Boost" localSheetId="3">VR5500_PDTCALC!$O$32</definedName>
    <definedName name="P_L_Buck1" localSheetId="3">VR5500_PDTCALC!$F$57</definedName>
    <definedName name="P_L_Buck2" localSheetId="3">VR5500_PDTCALC!$O$57</definedName>
    <definedName name="P_L_Buck3" localSheetId="3">VR5500_PDTCALC!$X$57</definedName>
    <definedName name="P_L_Vpre" localSheetId="3">VR5500_PDTCALC!$F$32</definedName>
    <definedName name="P_LS_cond_Boost" localSheetId="3">VR5500_PDTCALC!$L$30</definedName>
    <definedName name="P_LS_Cond_Buck1" localSheetId="3">VR5500_PDTCALC!$C$57</definedName>
    <definedName name="P_LS_cond_Buck2" localSheetId="3">VR5500_PDTCALC!$L$57</definedName>
    <definedName name="P_LS_cond_Buck3" localSheetId="3">VR5500_PDTCALC!$U$57</definedName>
    <definedName name="P_LS_Cond_Vpre" localSheetId="3">VR5500_PDTCALC!$C$32</definedName>
    <definedName name="P_LS_sw_Boost" localSheetId="3">VR5500_PDTCALC!$L$31</definedName>
    <definedName name="P_LS_sw_Buck1" localSheetId="3">VR5500_PDTCALC!$C$58</definedName>
    <definedName name="P_LS_sw_Buck2" localSheetId="3">VR5500_PDTCALC!$L$58</definedName>
    <definedName name="P_LS_sw_Buck3" localSheetId="3">VR5500_PDTCALC!$U$58</definedName>
    <definedName name="P_LS_sw_Vpre" localSheetId="3">VR5500_PDTCALC!$C$33</definedName>
    <definedName name="P_R_Shunt" localSheetId="3">VR5500_PDTCALC!$F$33</definedName>
    <definedName name="Pdis_IC_Boost" localSheetId="3">VR5500_PDTCALC!$L$36</definedName>
    <definedName name="Pdis_IC_Buck1" localSheetId="3">VR5500_PDTCALC!$C$61</definedName>
    <definedName name="Pdis_IC_Buck2" localSheetId="3">VR5500_PDTCALC!$L$61</definedName>
    <definedName name="Pdis_IC_Buck3" localSheetId="3">VR5500_PDTCALC!$U$61</definedName>
    <definedName name="Pdis_IC_LDO1" localSheetId="3">VR5500_PDTCALC!$U$31</definedName>
    <definedName name="Pdis_IC_LDO2" localSheetId="3">VR5500_PDTCALC!$X$31</definedName>
    <definedName name="Pdis_IC_Vpre" localSheetId="3">VR5500_PDTCALC!$C$36</definedName>
    <definedName name="Pdis_Int_IC" localSheetId="3">VR5500_PDTCALC!$AA$18</definedName>
    <definedName name="Pdis_LDO3" localSheetId="3">VR5500_PDTCALC!$F$16</definedName>
    <definedName name="Pdis_LDO3">System_PDTCALC!$F$16</definedName>
    <definedName name="Pdis_LDO4" localSheetId="3">VR5500_PDTCALC!$I$16</definedName>
    <definedName name="Pdis_LDO4">System_PDTCALC!$I$16</definedName>
    <definedName name="Pdis_PI_filter" localSheetId="3">VR5500_PDTCALC!$C$16</definedName>
    <definedName name="Pdis_PI_filter">System_PDTCALC!$C$16</definedName>
    <definedName name="Pdis_RB_diode" localSheetId="3">VR5500_PDTCALC!$C$15</definedName>
    <definedName name="Pdis_RB_diode">System_PDTCALC!$C$15</definedName>
    <definedName name="Pdis_tot_Boost" localSheetId="3">VR5500_PDTCALC!$L$35</definedName>
    <definedName name="Pdis_tot_Buck1" localSheetId="3">VR5500_PDTCALC!$C$60</definedName>
    <definedName name="Pdis_tot_Buck2" localSheetId="3">VR5500_PDTCALC!$L$60</definedName>
    <definedName name="Pdis_tot_Buck3" localSheetId="3">VR5500_PDTCALC!$U$60</definedName>
    <definedName name="Pdis_tot_Vpre" localSheetId="3">VR5500_PDTCALC!$C$35</definedName>
    <definedName name="Pout_Boost" localSheetId="3">VR5500_PDTCALC!$R$28</definedName>
    <definedName name="Pout_Buck1" localSheetId="3">VR5500_PDTCALC!$I$53</definedName>
    <definedName name="Pout_Buck2" localSheetId="3">VR5500_PDTCALC!$R$53</definedName>
    <definedName name="Pout_Buck3" localSheetId="3">VR5500_PDTCALC!$AA$53</definedName>
    <definedName name="Pout_LDO1" localSheetId="3">VR5500_PDTCALC!$U$30</definedName>
    <definedName name="Pout_LDO2" localSheetId="3">VR5500_PDTCALC!$X$30</definedName>
    <definedName name="Pout_LDO3" localSheetId="3">VR5500_PDTCALC!$F$15</definedName>
    <definedName name="Pout_LDO3">System_PDTCALC!$F$15</definedName>
    <definedName name="Pout_LDO4" localSheetId="3">VR5500_PDTCALC!$I$15</definedName>
    <definedName name="Pout_LDO4">System_PDTCALC!$I$15</definedName>
    <definedName name="Pout_Vpre" localSheetId="3">VR5500_PDTCALC!$I$28</definedName>
    <definedName name="QHS_Buck1" localSheetId="3">VR5500_PDTCALC!$F$44</definedName>
    <definedName name="QHS_Buck2" localSheetId="3">VR5500_PDTCALC!$O$44</definedName>
    <definedName name="QHS_Buck3" localSheetId="3">VR5500_PDTCALC!$X$44</definedName>
    <definedName name="QHS_Vpre" localSheetId="3">VR5500_PDTCALC!$F$13</definedName>
    <definedName name="QLS_Boost" localSheetId="3">VR5500_PDTCALC!$O$13</definedName>
    <definedName name="QLS_Buck1" localSheetId="3">VR5500_PDTCALC!$F$48</definedName>
    <definedName name="QLS_Buck2" localSheetId="3">VR5500_PDTCALC!$O$48</definedName>
    <definedName name="QLS_Buck3" localSheetId="3">VR5500_PDTCALC!$X$48</definedName>
    <definedName name="QLS_VPRE" localSheetId="3">VR5500_PDTCALC!$F$20</definedName>
    <definedName name="RB_diode">System_PDTCALC!$C$9</definedName>
    <definedName name="Rg" localSheetId="3">VR5500_PDTCALC!$H$32</definedName>
    <definedName name="Ripple_Boost" localSheetId="3">VR5500_PDTCALC!$O$37</definedName>
    <definedName name="Ripple_Buck1" localSheetId="3">VR5500_PDTCALC!$F$62</definedName>
    <definedName name="Ripple_Buck2" localSheetId="3">VR5500_PDTCALC!$O$62</definedName>
    <definedName name="Ripple_Buck3" localSheetId="3">VR5500_PDTCALC!$X$62</definedName>
    <definedName name="Ripple_vpre" localSheetId="3">VR5500_PDTCALC!$F$37</definedName>
    <definedName name="Rpd" localSheetId="3">VR5500_PDTCALC!$H$31</definedName>
    <definedName name="Rpu" localSheetId="3">VR5500_PDTCALC!$H$30</definedName>
    <definedName name="RTH_ja" localSheetId="3">VR5500_PDTCALC!$T$3</definedName>
    <definedName name="THS_sw_Buck1" localSheetId="3">VR5500_PDTCALC!$F$45</definedName>
    <definedName name="THS_sw_Buck2" localSheetId="3">VR5500_PDTCALC!$O$45</definedName>
    <definedName name="THS_sw_Buck3" localSheetId="3">VR5500_PDTCALC!$X$45</definedName>
    <definedName name="THS_sw_Vpre" localSheetId="3">VR5500_PDTCALC!$F$17</definedName>
    <definedName name="TJ_max" localSheetId="3">VR5500_PDTCALC!$T$5</definedName>
    <definedName name="TLS_sw_Boost" localSheetId="3">VR5500_PDTCALC!$O$15</definedName>
    <definedName name="TLS_sw_Buck1" localSheetId="3">VR5500_PDTCALC!$F$49</definedName>
    <definedName name="TLS_sw_Buck2" localSheetId="3">VR5500_PDTCALC!$O$49</definedName>
    <definedName name="TLS_sw_Buck3" localSheetId="3">VR5500_PDTCALC!$X$49</definedName>
    <definedName name="TLS_sw_Vpre" localSheetId="3">VR5500_PDTCALC!$F$24</definedName>
    <definedName name="Vdiode_Boost" localSheetId="3">VR5500_PDTCALC!$L$17</definedName>
    <definedName name="VLDO1" localSheetId="3">VR5500_PDTCALC!$U$12</definedName>
    <definedName name="VLDO2" localSheetId="3">VR5500_PDTCALC!$X$12</definedName>
    <definedName name="Vpre" localSheetId="3">VR5500_PDTCALC!$I$13</definedName>
    <definedName name="Vpre_Imax" localSheetId="3">VR5500_PDTCALC!$E$4</definedName>
    <definedName name="Vsup" localSheetId="3">VR5500_PDTCALC!$I$11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21" l="1"/>
  <c r="C17" i="21"/>
  <c r="U31" i="18" l="1"/>
  <c r="U30" i="18"/>
  <c r="U32" i="18" l="1"/>
  <c r="K15" i="21"/>
  <c r="K17" i="21" s="1"/>
  <c r="K35" i="21"/>
  <c r="K34" i="21"/>
  <c r="K32" i="21"/>
  <c r="K37" i="21" s="1"/>
  <c r="K38" i="21" s="1"/>
  <c r="K24" i="21"/>
  <c r="K29" i="21" s="1"/>
  <c r="K42" i="21"/>
  <c r="G47" i="21"/>
  <c r="G48" i="21" s="1"/>
  <c r="C47" i="21"/>
  <c r="C48" i="21" s="1"/>
  <c r="G39" i="21"/>
  <c r="C39" i="21"/>
  <c r="G37" i="21"/>
  <c r="G45" i="21" s="1"/>
  <c r="C37" i="21"/>
  <c r="C45" i="21" s="1"/>
  <c r="G35" i="21"/>
  <c r="G36" i="21" s="1"/>
  <c r="G43" i="21" s="1"/>
  <c r="C35" i="21"/>
  <c r="C40" i="21" s="1"/>
  <c r="C41" i="21" s="1"/>
  <c r="G31" i="21"/>
  <c r="G28" i="21"/>
  <c r="C28" i="21"/>
  <c r="G27" i="21"/>
  <c r="G33" i="21" s="1"/>
  <c r="C27" i="21"/>
  <c r="C33" i="21" s="1"/>
  <c r="G25" i="21"/>
  <c r="C25" i="21"/>
  <c r="G20" i="21"/>
  <c r="G49" i="21" s="1"/>
  <c r="C20" i="21"/>
  <c r="C49" i="21" s="1"/>
  <c r="G11" i="21"/>
  <c r="C11" i="21"/>
  <c r="G7" i="21"/>
  <c r="G9" i="21" s="1"/>
  <c r="C7" i="21"/>
  <c r="C9" i="21" s="1"/>
  <c r="K43" i="21" l="1"/>
  <c r="G29" i="21"/>
  <c r="K25" i="21"/>
  <c r="C29" i="21"/>
  <c r="K31" i="21"/>
  <c r="K27" i="21"/>
  <c r="K28" i="21"/>
  <c r="G40" i="21"/>
  <c r="G41" i="21" s="1"/>
  <c r="C31" i="21"/>
  <c r="C36" i="21"/>
  <c r="C43" i="21" s="1"/>
  <c r="R16" i="18" l="1"/>
  <c r="O15" i="18" l="1"/>
  <c r="R18" i="18" l="1"/>
  <c r="R28" i="18" s="1"/>
  <c r="O28" i="18" l="1"/>
  <c r="I16" i="19"/>
  <c r="F16" i="19"/>
  <c r="F17" i="18"/>
  <c r="F24" i="18" l="1"/>
  <c r="L12" i="19" l="1"/>
  <c r="I15" i="19"/>
  <c r="I17" i="19" s="1"/>
  <c r="F15" i="19"/>
  <c r="F17" i="19" s="1"/>
  <c r="L11" i="19"/>
  <c r="L58" i="18"/>
  <c r="C58" i="18"/>
  <c r="L56" i="18"/>
  <c r="C56" i="18"/>
  <c r="R53" i="18"/>
  <c r="O53" i="18"/>
  <c r="L55" i="18" s="1"/>
  <c r="I53" i="18"/>
  <c r="F53" i="18"/>
  <c r="AA49" i="18"/>
  <c r="AA48" i="18"/>
  <c r="U56" i="18" s="1"/>
  <c r="R48" i="18"/>
  <c r="I48" i="18"/>
  <c r="U44" i="18"/>
  <c r="L44" i="18"/>
  <c r="C44" i="18"/>
  <c r="AA43" i="18"/>
  <c r="U43" i="18"/>
  <c r="R43" i="18"/>
  <c r="L43" i="18"/>
  <c r="I43" i="18"/>
  <c r="C43" i="18"/>
  <c r="C36" i="18"/>
  <c r="AA11" i="18" s="1"/>
  <c r="X31" i="18"/>
  <c r="AA17" i="18" s="1"/>
  <c r="AA16" i="18"/>
  <c r="X30" i="18"/>
  <c r="F25" i="18"/>
  <c r="AA18" i="18"/>
  <c r="I18" i="18"/>
  <c r="R19" i="18"/>
  <c r="X14" i="18"/>
  <c r="U14" i="18"/>
  <c r="L12" i="18"/>
  <c r="R11" i="18"/>
  <c r="L11" i="18"/>
  <c r="O55" i="18" l="1"/>
  <c r="L57" i="18"/>
  <c r="L61" i="18" s="1"/>
  <c r="O60" i="18"/>
  <c r="Q60" i="18" s="1"/>
  <c r="R14" i="18"/>
  <c r="O31" i="18"/>
  <c r="O30" i="18"/>
  <c r="O35" i="18"/>
  <c r="O37" i="18" s="1"/>
  <c r="F55" i="18"/>
  <c r="AC16" i="18"/>
  <c r="L15" i="19"/>
  <c r="X53" i="18"/>
  <c r="X55" i="18" s="1"/>
  <c r="X32" i="18"/>
  <c r="AC17" i="18" s="1"/>
  <c r="F60" i="18"/>
  <c r="AA53" i="18"/>
  <c r="C55" i="18"/>
  <c r="C57" i="18"/>
  <c r="U58" i="18"/>
  <c r="O61" i="18" l="1"/>
  <c r="O57" i="18"/>
  <c r="O56" i="18"/>
  <c r="L60" i="18" s="1"/>
  <c r="L62" i="18" s="1"/>
  <c r="AC14" i="18" s="1"/>
  <c r="O62" i="18"/>
  <c r="O36" i="18"/>
  <c r="O32" i="18"/>
  <c r="L31" i="18"/>
  <c r="L32" i="18"/>
  <c r="L30" i="18"/>
  <c r="C61" i="18"/>
  <c r="AA13" i="18" s="1"/>
  <c r="AA14" i="18"/>
  <c r="AA30" i="18"/>
  <c r="X60" i="18"/>
  <c r="X57" i="18" s="1"/>
  <c r="U55" i="18"/>
  <c r="U57" i="18"/>
  <c r="Q35" i="18"/>
  <c r="F61" i="18"/>
  <c r="H60" i="18"/>
  <c r="F56" i="18"/>
  <c r="F57" i="18"/>
  <c r="F62" i="18"/>
  <c r="L36" i="18" l="1"/>
  <c r="AA12" i="18" s="1"/>
  <c r="L35" i="18"/>
  <c r="L37" i="18" s="1"/>
  <c r="C60" i="18"/>
  <c r="C62" i="18" s="1"/>
  <c r="AC13" i="18" s="1"/>
  <c r="X56" i="18"/>
  <c r="U60" i="18" s="1"/>
  <c r="U62" i="18" s="1"/>
  <c r="U61" i="18"/>
  <c r="AA15" i="18" s="1"/>
  <c r="Z60" i="18"/>
  <c r="X61" i="18"/>
  <c r="X62" i="18"/>
  <c r="AC12" i="18" l="1"/>
  <c r="AC15" i="18"/>
  <c r="I15" i="18"/>
  <c r="AA32" i="18"/>
  <c r="AA35" i="18" s="1"/>
  <c r="I28" i="18" l="1"/>
  <c r="I17" i="18"/>
  <c r="F28" i="18"/>
  <c r="F30" i="18" s="1"/>
  <c r="C33" i="18"/>
  <c r="C31" i="18"/>
  <c r="F33" i="18"/>
  <c r="C30" i="18" l="1"/>
  <c r="C32" i="18"/>
  <c r="F35" i="18"/>
  <c r="F32" i="18" s="1"/>
  <c r="F31" i="18" l="1"/>
  <c r="C35" i="18" s="1"/>
  <c r="AA31" i="18" s="1"/>
  <c r="L8" i="19" s="1"/>
  <c r="F37" i="18"/>
  <c r="F36" i="18"/>
  <c r="H35" i="18"/>
  <c r="AA36" i="18" l="1"/>
  <c r="C37" i="18"/>
  <c r="C8" i="19" s="1"/>
  <c r="C16" i="19" l="1"/>
  <c r="L10" i="19" s="1"/>
  <c r="C15" i="19"/>
  <c r="L9" i="19" s="1"/>
  <c r="AC11" i="18"/>
  <c r="L16" i="19" l="1"/>
  <c r="L17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clairet</author>
    <author>Maxime Clairet</author>
  </authors>
  <commentList>
    <comment ref="Z18" authorId="0" shapeId="0" xr:uid="{00000000-0006-0000-0300-000001000000}">
      <text>
        <r>
          <rPr>
            <sz val="9"/>
            <color indexed="81"/>
            <rFont val="Tahoma"/>
            <family val="2"/>
          </rPr>
          <t>Vsup + Vbos</t>
        </r>
      </text>
    </comment>
    <comment ref="F25" authorId="0" shapeId="0" xr:uid="{00000000-0006-0000-0300-000002000000}">
      <text>
        <r>
          <rPr>
            <sz val="9"/>
            <color indexed="81"/>
            <rFont val="Tahoma"/>
            <family val="2"/>
          </rPr>
          <t>I_BOS must be &lt;50mA</t>
        </r>
      </text>
    </comment>
    <comment ref="Z31" authorId="0" shapeId="0" xr:uid="{00000000-0006-0000-0300-000003000000}">
      <text>
        <r>
          <rPr>
            <sz val="9"/>
            <color indexed="81"/>
            <rFont val="Tahoma"/>
            <family val="2"/>
          </rPr>
          <t>FS8500 + external components</t>
        </r>
      </text>
    </comment>
    <comment ref="Z32" authorId="0" shapeId="0" xr:uid="{00000000-0006-0000-0300-000004000000}">
      <text>
        <r>
          <rPr>
            <sz val="9"/>
            <color indexed="81"/>
            <rFont val="Tahoma"/>
            <family val="2"/>
          </rPr>
          <t>FS8500 only</t>
        </r>
      </text>
    </comment>
    <comment ref="C36" authorId="1" shapeId="0" xr:uid="{00000000-0006-0000-0300-000005000000}">
      <text>
        <r>
          <rPr>
            <sz val="9"/>
            <color indexed="81"/>
            <rFont val="Tahoma"/>
            <family val="2"/>
          </rPr>
          <t>- Rpu(H23)=2ohms
- Rpd(H24)=1.75ohms
- Rg(H25)=1ohm</t>
        </r>
      </text>
    </comment>
    <comment ref="Z36" authorId="0" shapeId="0" xr:uid="{00000000-0006-0000-0300-000006000000}">
      <text>
        <r>
          <rPr>
            <sz val="9"/>
            <color indexed="81"/>
            <rFont val="Tahoma"/>
            <family val="2"/>
          </rPr>
          <t>FS8500 + external components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clairet</author>
  </authors>
  <commentList>
    <comment ref="K8" authorId="0" shapeId="0" xr:uid="{00000000-0006-0000-0400-000001000000}">
      <text>
        <r>
          <rPr>
            <sz val="9"/>
            <color indexed="81"/>
            <rFont val="Tahoma"/>
            <family val="2"/>
          </rPr>
          <t>FS8500 + external components</t>
        </r>
      </text>
    </comment>
    <comment ref="K17" authorId="0" shapeId="0" xr:uid="{00000000-0006-0000-0400-000002000000}">
      <text>
        <r>
          <rPr>
            <sz val="9"/>
            <color indexed="81"/>
            <rFont val="Tahoma"/>
            <family val="2"/>
          </rPr>
          <t>FS8500 + RB_diode + PI_filter + LDO3 + LDO4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Clairet</author>
    <author>maxime clairet</author>
  </authors>
  <commentList>
    <comment ref="C11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Calculated for 75mV ripple at VIN</t>
        </r>
      </text>
    </comment>
    <comment ref="C15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Calculate with typ and simulate worst case if needed</t>
        </r>
      </text>
    </comment>
    <comment ref="G15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Calculate with typ and simulate worst case if needed</t>
        </r>
      </text>
    </comment>
    <comment ref="J39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Use default value in red</t>
        </r>
      </text>
    </comment>
  </commentList>
</comments>
</file>

<file path=xl/sharedStrings.xml><?xml version="1.0" encoding="utf-8"?>
<sst xmlns="http://schemas.openxmlformats.org/spreadsheetml/2006/main" count="709" uniqueCount="350">
  <si>
    <t>Cin</t>
  </si>
  <si>
    <t>Cout</t>
  </si>
  <si>
    <t>Converter</t>
  </si>
  <si>
    <t>Ipeak</t>
  </si>
  <si>
    <t xml:space="preserve">Freq </t>
  </si>
  <si>
    <t>P_Cin</t>
  </si>
  <si>
    <t>P_Cout</t>
  </si>
  <si>
    <t>P_L</t>
  </si>
  <si>
    <t>Pout</t>
  </si>
  <si>
    <t>Pdis_tot</t>
  </si>
  <si>
    <t>Pdis_IC</t>
  </si>
  <si>
    <r>
      <t>D</t>
    </r>
    <r>
      <rPr>
        <b/>
        <sz val="8"/>
        <rFont val="Arial"/>
        <family val="2"/>
      </rPr>
      <t xml:space="preserve">IL </t>
    </r>
  </si>
  <si>
    <r>
      <t>h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Vpre</t>
    </r>
  </si>
  <si>
    <r>
      <t>h</t>
    </r>
    <r>
      <rPr>
        <b/>
        <sz val="8"/>
        <rFont val="Arial"/>
        <family val="2"/>
      </rPr>
      <t xml:space="preserve"> </t>
    </r>
  </si>
  <si>
    <t>Vpre</t>
  </si>
  <si>
    <t>P_diode</t>
  </si>
  <si>
    <t>duty cycle</t>
  </si>
  <si>
    <t>Vout_ripple</t>
  </si>
  <si>
    <t>duty_cycle</t>
  </si>
  <si>
    <t>Ipre</t>
  </si>
  <si>
    <t>Vsup</t>
  </si>
  <si>
    <t>ESR Cin</t>
  </si>
  <si>
    <t>ESR Cout</t>
  </si>
  <si>
    <t>L coil</t>
  </si>
  <si>
    <t>DCR coil</t>
  </si>
  <si>
    <t>Max output current</t>
  </si>
  <si>
    <t>FILL ORANGE CELLS BASED ON EXTERNAL DEVICES CHARACTERISTICS</t>
  </si>
  <si>
    <t>0/ Generic comments</t>
  </si>
  <si>
    <t xml:space="preserve">JEDEC thermal resistance used to calculate the maximum ambiant temperature is based on JEDEC JESD51-6 with the board (JESD51-7) horizontal </t>
  </si>
  <si>
    <t>1/ Fill in Vsup application voltage</t>
  </si>
  <si>
    <t>Tj max</t>
  </si>
  <si>
    <t>Revision</t>
  </si>
  <si>
    <t>Date</t>
  </si>
  <si>
    <t>Description of changes</t>
  </si>
  <si>
    <t xml:space="preserve">Related Data Sheet: </t>
  </si>
  <si>
    <t>Document Description:</t>
  </si>
  <si>
    <t>Related Part Numbers:</t>
  </si>
  <si>
    <t xml:space="preserve">Document ID: </t>
  </si>
  <si>
    <t xml:space="preserve">Revision: </t>
  </si>
  <si>
    <t>Ext. C and L</t>
  </si>
  <si>
    <t>Ext. MOSFETs</t>
  </si>
  <si>
    <t>HS_Rdson</t>
  </si>
  <si>
    <t>GHS_drive</t>
  </si>
  <si>
    <t>QHS</t>
  </si>
  <si>
    <t>LS_Rdson</t>
  </si>
  <si>
    <t>QLS</t>
  </si>
  <si>
    <t>GLS_drive</t>
  </si>
  <si>
    <t>Int. MOSFETs</t>
  </si>
  <si>
    <t>Buck1</t>
  </si>
  <si>
    <t>Ibuck1</t>
  </si>
  <si>
    <t>Buck2</t>
  </si>
  <si>
    <t>Ibuck2</t>
  </si>
  <si>
    <t>Buck3</t>
  </si>
  <si>
    <t>Regulator</t>
  </si>
  <si>
    <t>Vdiode</t>
  </si>
  <si>
    <t>Boost</t>
  </si>
  <si>
    <t>Iboost</t>
  </si>
  <si>
    <t>Int. MOSFET</t>
  </si>
  <si>
    <t>Ext. C, L and D</t>
  </si>
  <si>
    <t>P_HS_cond</t>
  </si>
  <si>
    <t>P_HS_sw</t>
  </si>
  <si>
    <t>P_LS_cond</t>
  </si>
  <si>
    <t>P_LS_sw</t>
  </si>
  <si>
    <t>TLS_sw</t>
  </si>
  <si>
    <t>THS_sw</t>
  </si>
  <si>
    <t>Ipre_add</t>
  </si>
  <si>
    <r>
      <t>h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Buck1</t>
    </r>
  </si>
  <si>
    <r>
      <t>h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Buck2</t>
    </r>
  </si>
  <si>
    <r>
      <t>h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Buck3</t>
    </r>
  </si>
  <si>
    <r>
      <t>h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Boost</t>
    </r>
  </si>
  <si>
    <t>Buck1 SMPS (adj from 0.8V to 1.8V)</t>
  </si>
  <si>
    <t>Buck2 SMPS (adj from 0.8V to 1.8V)</t>
  </si>
  <si>
    <t>Pdis</t>
  </si>
  <si>
    <r>
      <t>h</t>
    </r>
    <r>
      <rPr>
        <b/>
        <sz val="9"/>
        <rFont val="Arial"/>
        <family val="2"/>
      </rPr>
      <t xml:space="preserve"> </t>
    </r>
  </si>
  <si>
    <t>Int. IC</t>
  </si>
  <si>
    <t>-</t>
  </si>
  <si>
    <t>Pdis_tot_IC</t>
  </si>
  <si>
    <t>Max_Ta</t>
  </si>
  <si>
    <t>Pout_tot</t>
  </si>
  <si>
    <t>2/ Fill in Vpre</t>
  </si>
  <si>
    <t>Vpre voltage from 3V to 5.5V</t>
  </si>
  <si>
    <t>Vpre external load in Ipre_add (max 6A total)</t>
  </si>
  <si>
    <t>3/ Fill in Boost</t>
  </si>
  <si>
    <t>5/ Fill in Buck1, 2, 3</t>
  </si>
  <si>
    <t>Buck1, 2 voltage from 0.8V to 1.8V</t>
  </si>
  <si>
    <t>SMPS calculations are valid in PWM mode and CCM mode</t>
  </si>
  <si>
    <t>The SMPS calculations are valid in PWM and CCM modes only (Pulse Width Modulation and Continuous Current Modes)</t>
  </si>
  <si>
    <t>Rth_ja</t>
  </si>
  <si>
    <t>Buck3 voltage from 1.2V to 5V</t>
  </si>
  <si>
    <t>Ta max</t>
  </si>
  <si>
    <t>LDO3</t>
  </si>
  <si>
    <t>LDO4</t>
  </si>
  <si>
    <t>LDO3_in</t>
  </si>
  <si>
    <t>I_LDO3</t>
  </si>
  <si>
    <t>LDO4_in</t>
  </si>
  <si>
    <t>I_LDO4</t>
  </si>
  <si>
    <t>System Summary</t>
  </si>
  <si>
    <t>Isup</t>
  </si>
  <si>
    <t>Vsup RB protection
and PI filter</t>
  </si>
  <si>
    <t>RB_diode</t>
  </si>
  <si>
    <t>LDO3 (external)</t>
  </si>
  <si>
    <t>LDO4 (external)</t>
  </si>
  <si>
    <r>
      <t>h</t>
    </r>
    <r>
      <rPr>
        <b/>
        <sz val="9"/>
        <rFont val="Arial"/>
        <family val="2"/>
      </rPr>
      <t xml:space="preserve"> system</t>
    </r>
  </si>
  <si>
    <t>Pdis_system</t>
  </si>
  <si>
    <t>Pout_system</t>
  </si>
  <si>
    <r>
      <t>h</t>
    </r>
    <r>
      <rPr>
        <b/>
        <sz val="9"/>
        <rFont val="Arial"/>
        <family val="2"/>
      </rPr>
      <t xml:space="preserve"> tot_IC</t>
    </r>
  </si>
  <si>
    <t>Pdis_RB_diode</t>
  </si>
  <si>
    <t>In case of reverse battery protection, Vsup = Vbat - Reverse Battery Diode voltage drop</t>
  </si>
  <si>
    <t>Buck1, 2, 3 load currents (max 2.5A)</t>
  </si>
  <si>
    <t>System_PDTCAL for a complete system with Vsup protection/filering and external LDOs</t>
  </si>
  <si>
    <t>7/ Fill in System_PDTCALC sheet if needed</t>
  </si>
  <si>
    <t>LDO3_out</t>
  </si>
  <si>
    <t>LDO4_out</t>
  </si>
  <si>
    <t>Vsup Reverse Battery diode voltage</t>
  </si>
  <si>
    <t>Vsup PI Filter inductor DCR</t>
  </si>
  <si>
    <t>The power dissipation of each regulator, the total power dissipation in the IC, and the power dissipation of the system</t>
  </si>
  <si>
    <t>The efficiency of each regulators,  the total efficiency of the IC, and the efficiency of the system if additinoal ext. LDO are used.</t>
  </si>
  <si>
    <t>The maximum ambiante temperature for a specific setup based on customer Rth_ja and Ta.</t>
  </si>
  <si>
    <t xml:space="preserve">8/ The Excel tool will calculate </t>
  </si>
  <si>
    <t>DCR PI_filter</t>
  </si>
  <si>
    <t>Pdis_PI_filter</t>
  </si>
  <si>
    <t>PI_filter</t>
  </si>
  <si>
    <t>Ibuck3_tot</t>
  </si>
  <si>
    <t>Ibuck3</t>
  </si>
  <si>
    <t>LDO1</t>
  </si>
  <si>
    <t>LDO2</t>
  </si>
  <si>
    <t>LDO1_in</t>
  </si>
  <si>
    <t>I_LDO1</t>
  </si>
  <si>
    <t>I_LDO2</t>
  </si>
  <si>
    <t>4/ Fill in LDO1 and LDO2</t>
  </si>
  <si>
    <t>LDO1_in voltage (Vpre or Boost)</t>
  </si>
  <si>
    <t>LDO1 current (max 200mA)</t>
  </si>
  <si>
    <t>Boost current is automatically calculated from LDO1 and LDO2 load currents</t>
  </si>
  <si>
    <t>Select LDO1 and LDO2 voltage (1.8V, 3.3V or 5V)</t>
  </si>
  <si>
    <t>LDO2 current (max 200mA)</t>
  </si>
  <si>
    <t>D x HS_Ron x Iout²</t>
  </si>
  <si>
    <t>duty cycle (D)</t>
  </si>
  <si>
    <t>(1 - D) x LS_Ron x Iout²</t>
  </si>
  <si>
    <t>Pout / (Pout + Pdis)</t>
  </si>
  <si>
    <t>P_HS_Cond + P_HS_sw +P_LS_Cond + P_LS_sw + P_Cin + P_Cout + P_L</t>
  </si>
  <si>
    <t>Vin - Vout - [(HS_Ron x Iout x D) / (Fsw x L)]</t>
  </si>
  <si>
    <t>Iout + ΔIL/2</t>
  </si>
  <si>
    <t>[Vin x D x (1 - D)] / [(8 x L x Cout x Fsw²] + ESR_Cout x I_Cout_rms</t>
  </si>
  <si>
    <t>ESR_Cin x I_Cin_rms²</t>
  </si>
  <si>
    <t>ESR_Cout x I_Cout_rms²</t>
  </si>
  <si>
    <t>Vpre Buck Converter</t>
  </si>
  <si>
    <t>External High Side MOS</t>
  </si>
  <si>
    <t>External Low Side MOS</t>
  </si>
  <si>
    <t>Buck1,2,3 Converters</t>
  </si>
  <si>
    <t>Internal High Side MOS
+ Driver</t>
  </si>
  <si>
    <t>Internal Low Side MOS
+ Driver</t>
  </si>
  <si>
    <t>P_HS_Cond + P_HS_sw +P_LS_Cond + P_LS_sw</t>
  </si>
  <si>
    <t>Boost Converter</t>
  </si>
  <si>
    <t>[Vout + (LS_Ron x Iout)] / (Vin + HS_Ron x Iout)</t>
  </si>
  <si>
    <t>D x LS_Ron x Iin²</t>
  </si>
  <si>
    <t>DCR x (Iin² + ΔIL²/12)</t>
  </si>
  <si>
    <t>P_LS_cond + P_LS_sw + P_diode</t>
  </si>
  <si>
    <t>P_LS_cond + P_LS_sw + P_diode + P_Cin + P_Cout + P_L</t>
  </si>
  <si>
    <t>(D x Vin) / (L x Fsw)</t>
  </si>
  <si>
    <t>(D x Iout) / (Fsw x Cout) + ESR_Cout x I_Cout_rms</t>
  </si>
  <si>
    <t>Best of Supply</t>
  </si>
  <si>
    <t>Average current</t>
  </si>
  <si>
    <t>I_BOS_Vpre</t>
  </si>
  <si>
    <t>I_BOS_Vboost</t>
  </si>
  <si>
    <t>2 x Qg x Fsw</t>
  </si>
  <si>
    <t>Qg x Fsw</t>
  </si>
  <si>
    <t xml:space="preserve">LDO3 input/output voltages and current. LDO3_in must be &gt; to LDO3_out. </t>
  </si>
  <si>
    <t>If LDO3 is not used I_LDO3=0. If LDO3 is used, I_LDO3 is automatically added to Ipre.</t>
  </si>
  <si>
    <t>LDO4 input/output voltages and current. LDO4_in must be &gt; to LDO4_out.</t>
  </si>
  <si>
    <t xml:space="preserve"> If LDO4 is not used I_LDO4=0. If LDO4 is used, I_LDO4 is automatically added to Ipre.</t>
  </si>
  <si>
    <t>Ron</t>
  </si>
  <si>
    <t>RDSon</t>
  </si>
  <si>
    <t>LS</t>
  </si>
  <si>
    <t>Low Side</t>
  </si>
  <si>
    <t>HS</t>
  </si>
  <si>
    <t>High Side</t>
  </si>
  <si>
    <t>Fsw</t>
  </si>
  <si>
    <t>Switching Frequency</t>
  </si>
  <si>
    <t>Tsw</t>
  </si>
  <si>
    <t>rms</t>
  </si>
  <si>
    <t>Root Mean Square value</t>
  </si>
  <si>
    <t>ΔIL</t>
  </si>
  <si>
    <t>Delta current in the inductor</t>
  </si>
  <si>
    <t>Qg</t>
  </si>
  <si>
    <t>Vg</t>
  </si>
  <si>
    <t>Gate Drive Voltage</t>
  </si>
  <si>
    <t>MOSFET Gate Charge</t>
  </si>
  <si>
    <t>Rpu</t>
  </si>
  <si>
    <t>Rpd</t>
  </si>
  <si>
    <t>Rg</t>
  </si>
  <si>
    <t>Gate Driver Pull up Resistor</t>
  </si>
  <si>
    <t>Gate Driver Pull down Resistor</t>
  </si>
  <si>
    <t>Gate serial Resistor</t>
  </si>
  <si>
    <t>L</t>
  </si>
  <si>
    <t>Inductor value</t>
  </si>
  <si>
    <t>DCR</t>
  </si>
  <si>
    <t>ESR</t>
  </si>
  <si>
    <t>Capacitor serial parasitic resistor</t>
  </si>
  <si>
    <t>Inductor serial parasitic resistor</t>
  </si>
  <si>
    <t>Switching Time</t>
  </si>
  <si>
    <t>(Vin x Iout)/2 x 2xHS_Tsw x Fsw</t>
  </si>
  <si>
    <t>(Vin x Iout)/2 x 2xHS_Tsw x Fsw + Qg x Vg x Fsw</t>
  </si>
  <si>
    <t>(Vbody_diode x Iout)/2 x 2xLS_Tsw x Fsw</t>
  </si>
  <si>
    <t>(Vbody_diode x Iout)/2 x 2xLS_Tsw x Fsw + Qg x Vg x Fsw</t>
  </si>
  <si>
    <t>DCR x (Iout² + ΔIL²/12)</t>
  </si>
  <si>
    <t xml:space="preserve">h </t>
  </si>
  <si>
    <t xml:space="preserve">DIL </t>
  </si>
  <si>
    <t>9/ Glossary</t>
  </si>
  <si>
    <t>(1 - D) x Vdiode x Iin</t>
  </si>
  <si>
    <t>Iin + ΔIL/2</t>
  </si>
  <si>
    <t>Iboost_in</t>
  </si>
  <si>
    <t>(Vout x Iin)/2 x 2xLS_Tsw x Fsw + Qg x Vg x Fsw</t>
  </si>
  <si>
    <t>[Vout + (LS_Ron x Iout)] / (Vin - (HS_Ron x Iout) +(LS_Ron x Iout))</t>
  </si>
  <si>
    <t>(Vout - Vin + Vdiode) / (Vout + Vdiode - LS_Ron x Iin)</t>
  </si>
  <si>
    <t xml:space="preserve">     See datasheet</t>
  </si>
  <si>
    <t>VPRE_FREQ 
(KHz)</t>
  </si>
  <si>
    <t>VPRE_OUT
(V)</t>
  </si>
  <si>
    <t>BOOST_OUT
(V)</t>
  </si>
  <si>
    <t>Vpre SMPS (adj from 3.3V to 5.5V)</t>
  </si>
  <si>
    <t>Boost SMPS (5V or 5.74V)</t>
  </si>
  <si>
    <r>
      <t xml:space="preserve">LDO1
</t>
    </r>
    <r>
      <rPr>
        <b/>
        <sz val="9"/>
        <rFont val="Arial"/>
        <family val="2"/>
      </rPr>
      <t xml:space="preserve"> (adj from 1.1V to 5V)</t>
    </r>
  </si>
  <si>
    <r>
      <t xml:space="preserve">LDO2
</t>
    </r>
    <r>
      <rPr>
        <b/>
        <sz val="9"/>
        <rFont val="Arial"/>
        <family val="2"/>
      </rPr>
      <t xml:space="preserve"> (adj from 1.1V to 5V)</t>
    </r>
  </si>
  <si>
    <t>LDO1_IN</t>
  </si>
  <si>
    <t>LDO1/2_OUT
(V)</t>
  </si>
  <si>
    <t>BUCK1/2_OUT
(V)</t>
  </si>
  <si>
    <t>BUCK3_OUT
(V)</t>
  </si>
  <si>
    <t>Buck3 SMPS (adj from 1.2V to 3.3V)</t>
  </si>
  <si>
    <t>Ext. R, L, C</t>
  </si>
  <si>
    <t>P_R</t>
  </si>
  <si>
    <t>R shunt</t>
  </si>
  <si>
    <t>HS_QGtot</t>
  </si>
  <si>
    <t>VPRE_SR</t>
  </si>
  <si>
    <t>I_BOS</t>
  </si>
  <si>
    <t>HS_QGD</t>
  </si>
  <si>
    <t>HS_QGS</t>
  </si>
  <si>
    <t>LS_QGtot</t>
  </si>
  <si>
    <t>LS_QGD</t>
  </si>
  <si>
    <t>LS_QGS</t>
  </si>
  <si>
    <t>LS_Igate</t>
  </si>
  <si>
    <t>HS_Igate</t>
  </si>
  <si>
    <t>Iboost_add</t>
  </si>
  <si>
    <t>Ipre_tot</t>
  </si>
  <si>
    <t>Iboost_tot</t>
  </si>
  <si>
    <t>LS_SlewRate</t>
  </si>
  <si>
    <t>BOOST_SR
(V/us)</t>
  </si>
  <si>
    <t>Inputs</t>
  </si>
  <si>
    <t>Outputs</t>
  </si>
  <si>
    <t>Normalized values</t>
  </si>
  <si>
    <t>PI Filter</t>
  </si>
  <si>
    <t>Hz</t>
  </si>
  <si>
    <t>uH</t>
  </si>
  <si>
    <t>uF</t>
  </si>
  <si>
    <t>VPRE - 455KHz</t>
  </si>
  <si>
    <t>VPRE - 2.22MHz</t>
  </si>
  <si>
    <t>V</t>
  </si>
  <si>
    <t>Vout (3.3 or 4.1 or 5.0V)</t>
  </si>
  <si>
    <t>Duty Cyle (Eff=1)</t>
  </si>
  <si>
    <t>Fsw (455KHz or 2.22MHz)</t>
  </si>
  <si>
    <t>I_PRE_average</t>
  </si>
  <si>
    <t>A</t>
  </si>
  <si>
    <t>I_PRE_peak (in the inductor)</t>
  </si>
  <si>
    <t>Inductor Current Ripple desired</t>
  </si>
  <si>
    <t>%</t>
  </si>
  <si>
    <t>Output Voltage Ripple desired</t>
  </si>
  <si>
    <t>mV</t>
  </si>
  <si>
    <t>Max dV desired</t>
  </si>
  <si>
    <t>Max dI desired</t>
  </si>
  <si>
    <t>L_PRE_calculated</t>
  </si>
  <si>
    <t>Inductor Current Ripple Calculated</t>
  </si>
  <si>
    <t>Cout_PRE_min (for ripple)</t>
  </si>
  <si>
    <t>Cout_PRE_selected</t>
  </si>
  <si>
    <t>Max dV Calculated</t>
  </si>
  <si>
    <t>Cout_PRE_ESR</t>
  </si>
  <si>
    <t>mΩ</t>
  </si>
  <si>
    <t>Output Voltage Ripple Calculated</t>
  </si>
  <si>
    <t>Bandwidth target (Fbw ~Fsw/10)</t>
  </si>
  <si>
    <t>Bandwidth target (Fbw ~Fsw/15)</t>
  </si>
  <si>
    <t>Fp = Fsw/2 = 1/(2π x Rcomp x Chf)</t>
  </si>
  <si>
    <t>Fp = Fsw/4 = 1/(2π x Rcomp x Chf)</t>
  </si>
  <si>
    <t>EA transconductance (gmEA min)</t>
  </si>
  <si>
    <t>mS</t>
  </si>
  <si>
    <t>EA gain = (Vref/Vout) x gmEA x Rcomp</t>
  </si>
  <si>
    <t>Rcomp_Calculated</t>
  </si>
  <si>
    <t>KΩ</t>
  </si>
  <si>
    <t>Rcomp_selected</t>
  </si>
  <si>
    <t>Ccomp_calculated (min)</t>
  </si>
  <si>
    <t>nF</t>
  </si>
  <si>
    <t>Ccomp_selected</t>
  </si>
  <si>
    <t>Chf_calculated</t>
  </si>
  <si>
    <t>pF</t>
  </si>
  <si>
    <t>Chf_selected</t>
  </si>
  <si>
    <t>Discharge slope m=(Vout/L)</t>
  </si>
  <si>
    <t>mA/us</t>
  </si>
  <si>
    <t>Slope compensation to select 
SC &gt; m x Rsense x Acs</t>
  </si>
  <si>
    <t>mV/us</t>
  </si>
  <si>
    <t>Current Limit to select must be &gt;</t>
  </si>
  <si>
    <t>Vin (VPRE)</t>
  </si>
  <si>
    <t>Vout (5.0 or 5.74V)</t>
  </si>
  <si>
    <t>I_BOOST</t>
  </si>
  <si>
    <t>Ilim</t>
  </si>
  <si>
    <t>L_BOOST</t>
  </si>
  <si>
    <t>C_BOOST_min (for ripple)</t>
  </si>
  <si>
    <t>Cout_BOOST_selected</t>
  </si>
  <si>
    <t>Max DV Calculated</t>
  </si>
  <si>
    <t>Voltage/Current Ratio (Kcs)
Kcs = 0.466/ILIM</t>
  </si>
  <si>
    <t>V/A</t>
  </si>
  <si>
    <t>Bandwidth (Fbw ~12KHz)</t>
  </si>
  <si>
    <t>Fp = 1/(2π x Rcomp x Chf)</t>
  </si>
  <si>
    <t>uS</t>
  </si>
  <si>
    <t>Ccomp_selected from OTP</t>
  </si>
  <si>
    <t>Chf_integrated (fixed)</t>
  </si>
  <si>
    <t>Discharge slope m=(Vout+Vd-Vin)/L</t>
  </si>
  <si>
    <t>Slope compensation to select 
SC &gt; m x Kcs</t>
  </si>
  <si>
    <t>BOOST - 2.22MHz</t>
  </si>
  <si>
    <t>Current mode regulation loop principle</t>
  </si>
  <si>
    <t>Cout_PRE_min (for transient)
Cout = dI / (2π x Fbw x dV)</t>
  </si>
  <si>
    <t>Fz = Fbw/10 = 1/(2π x Rcomp x Ccomp)</t>
  </si>
  <si>
    <t>Fgbw = 1/(Rsense x Acs x 2π x Cout)</t>
  </si>
  <si>
    <r>
      <t>Cout_BOOST_min (for transient)
Cout = DI / (2</t>
    </r>
    <r>
      <rPr>
        <sz val="10"/>
        <color theme="1"/>
        <rFont val="Arial"/>
        <family val="2"/>
      </rPr>
      <t>π x Fbw x DV)</t>
    </r>
  </si>
  <si>
    <r>
      <t>Fz = 1/(2</t>
    </r>
    <r>
      <rPr>
        <sz val="10"/>
        <color theme="1"/>
        <rFont val="Arial"/>
        <family val="2"/>
      </rPr>
      <t>π x Rcomp x Ccomp)</t>
    </r>
  </si>
  <si>
    <r>
      <t>Fgbw = 1/(Kcs x 2</t>
    </r>
    <r>
      <rPr>
        <sz val="10"/>
        <color theme="1"/>
        <rFont val="Arial"/>
        <family val="2"/>
      </rPr>
      <t>π x Cout)</t>
    </r>
  </si>
  <si>
    <r>
      <t xml:space="preserve">Rcomp_selected from OTP
(500K, </t>
    </r>
    <r>
      <rPr>
        <b/>
        <sz val="10"/>
        <color rgb="FFFF0000"/>
        <rFont val="Arial"/>
        <family val="2"/>
      </rPr>
      <t>750K</t>
    </r>
    <r>
      <rPr>
        <b/>
        <sz val="10"/>
        <color theme="1"/>
        <rFont val="Arial"/>
        <family val="2"/>
      </rPr>
      <t>)</t>
    </r>
  </si>
  <si>
    <t>Cpi1_Vbat_Calculated</t>
  </si>
  <si>
    <t>Cpi1_Vbat_Selected</t>
  </si>
  <si>
    <t>Cpi2_Vsup_Calculated</t>
  </si>
  <si>
    <t>Cpi2_Vsup_Selected</t>
  </si>
  <si>
    <t>Lpi</t>
  </si>
  <si>
    <t>Fpi = Fsw / 10</t>
  </si>
  <si>
    <t>Vin (VSUP)</t>
  </si>
  <si>
    <t>Internal Driver (for same HS and LS ext. MOS)</t>
  </si>
  <si>
    <t>2 x Qg x Vg x Fsw x (Rpu / (2 x (Rpu + Rg)) + Rpd / (2 x (Rpd + Rg))</t>
  </si>
  <si>
    <t>L_PRE_selected from
(1.5uH - 4.7uH @2.22MHz)</t>
  </si>
  <si>
    <t>L_PRE_selected from
(4.7uH - 10uH @450KHz)</t>
  </si>
  <si>
    <t>L_BOOST_selected from
(2.2uH - 6.8uH @2.22MHz)</t>
  </si>
  <si>
    <t>Rsense (10 - 20)</t>
  </si>
  <si>
    <t xml:space="preserve">     1.0</t>
  </si>
  <si>
    <t>1.0</t>
  </si>
  <si>
    <t>Initial release</t>
  </si>
  <si>
    <t xml:space="preserve">     VR5500_PDTCALC</t>
  </si>
  <si>
    <t xml:space="preserve">      The Power Dissipation Tool calculates the power dissipation of the VR5500 series based on application use case</t>
  </si>
  <si>
    <t xml:space="preserve">     VR5500 Datasheet High Voltage PMIC with Multiple SMPS and LDO rev1.0 and above</t>
  </si>
  <si>
    <r>
      <t xml:space="preserve">VR5500 Power Dissipation Calculation tool </t>
    </r>
    <r>
      <rPr>
        <b/>
        <u/>
        <sz val="12"/>
        <rFont val="Arial"/>
        <family val="2"/>
      </rPr>
      <t>user</t>
    </r>
    <r>
      <rPr>
        <b/>
        <sz val="12"/>
        <rFont val="Arial"/>
        <family val="2"/>
      </rPr>
      <t xml:space="preserve"> guide</t>
    </r>
  </si>
  <si>
    <r>
      <t xml:space="preserve">VR5500 Power Dissipation Calculation tool </t>
    </r>
    <r>
      <rPr>
        <b/>
        <u/>
        <sz val="12"/>
        <rFont val="Arial"/>
        <family val="2"/>
      </rPr>
      <t>formula</t>
    </r>
    <r>
      <rPr>
        <b/>
        <sz val="12"/>
        <rFont val="Arial"/>
        <family val="2"/>
      </rPr>
      <t xml:space="preserve"> guide</t>
    </r>
  </si>
  <si>
    <t>VR5500_PDTCAL for VR5500 and its required external components</t>
  </si>
  <si>
    <t>Boost switching frequency based on VR5500 configuration</t>
  </si>
  <si>
    <t>FILL YELLOW CELLS BASED ON VR5500 SETUP</t>
  </si>
  <si>
    <t>Buck1, 2, 3 switching frequencies based on VR5500 configuration</t>
  </si>
  <si>
    <t>6/ Adjust VR5500 External Components characteristics if need</t>
  </si>
  <si>
    <t>Vpre switching frequency based on VR5500 configuration</t>
  </si>
  <si>
    <t>VR5500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</si>
</sst>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0.00\ \A"/>
    <numFmt numFmtId="165" formatCode="0.00\ &quot;mV&quot;"/>
    <numFmt numFmtId="166" formatCode="0\ &quot;µF&quot;"/>
    <numFmt numFmtId="167" formatCode="0.00\ &quot;V&quot;"/>
    <numFmt numFmtId="168" formatCode="0\ &quot;kHz&quot;"/>
    <numFmt numFmtId="169" formatCode="0.000\ &quot;µs&quot;"/>
    <numFmt numFmtId="170" formatCode="0.000\ &quot;W&quot;"/>
    <numFmt numFmtId="171" formatCode="0.00\ &quot;ns&quot;"/>
    <numFmt numFmtId="172" formatCode="0.000"/>
    <numFmt numFmtId="173" formatCode="0.0\ &quot;W&quot;"/>
    <numFmt numFmtId="174" formatCode="0.0\ &quot;µH&quot;"/>
    <numFmt numFmtId="175" formatCode="0\ \p\F"/>
    <numFmt numFmtId="176" formatCode="0\ &quot;mV&quot;"/>
    <numFmt numFmtId="177" formatCode="0.00\ &quot;W&quot;"/>
    <numFmt numFmtId="178" formatCode="0.000\ &quot;A&quot;"/>
    <numFmt numFmtId="179" formatCode="0.0%"/>
    <numFmt numFmtId="180" formatCode="0.0\ &quot;V&quot;"/>
    <numFmt numFmtId="181" formatCode="0.0\ &quot;mA&quot;"/>
    <numFmt numFmtId="182" formatCode="0.0\ &quot;mΩ&quot;"/>
    <numFmt numFmtId="183" formatCode="0.000\ \A"/>
    <numFmt numFmtId="184" formatCode="0\ \°\C"/>
    <numFmt numFmtId="185" formatCode="0\ &quot;°C/W&quot;"/>
    <numFmt numFmtId="186" formatCode="0.0\ &quot;A&quot;"/>
    <numFmt numFmtId="187" formatCode="0.0\ &quot;nC&quot;"/>
    <numFmt numFmtId="188" formatCode="0.0000\ &quot;W&quot;"/>
    <numFmt numFmtId="189" formatCode="0.00\ &quot;°C&quot;"/>
    <numFmt numFmtId="190" formatCode="0.00000\ &quot;W&quot;"/>
    <numFmt numFmtId="191" formatCode="0\ &quot;mV/us&quot;"/>
    <numFmt numFmtId="192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Symbol"/>
      <family val="1"/>
      <charset val="2"/>
    </font>
    <font>
      <b/>
      <sz val="8"/>
      <name val="Arial"/>
      <family val="2"/>
    </font>
    <font>
      <b/>
      <sz val="8"/>
      <name val="Symbol"/>
      <family val="1"/>
      <charset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66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8"/>
      <color rgb="FFFF0000"/>
      <name val="Arial"/>
      <family val="2"/>
    </font>
    <font>
      <b/>
      <sz val="9"/>
      <name val="Symbol"/>
      <family val="1"/>
      <charset val="2"/>
    </font>
    <font>
      <sz val="8"/>
      <color theme="0" tint="-0.34998626667073579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6EE3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21">
    <xf numFmtId="0" fontId="0" fillId="0" borderId="0" xfId="0"/>
    <xf numFmtId="167" fontId="5" fillId="4" borderId="0" xfId="2" applyNumberFormat="1" applyFont="1" applyFill="1" applyAlignment="1" applyProtection="1">
      <alignment horizontal="center" vertical="center"/>
      <protection locked="0"/>
    </xf>
    <xf numFmtId="164" fontId="5" fillId="4" borderId="0" xfId="2" applyNumberFormat="1" applyFont="1" applyFill="1" applyAlignment="1" applyProtection="1">
      <alignment horizontal="center" vertical="center"/>
      <protection locked="0"/>
    </xf>
    <xf numFmtId="181" fontId="5" fillId="4" borderId="0" xfId="2" applyNumberFormat="1" applyFont="1" applyFill="1" applyAlignment="1" applyProtection="1">
      <alignment horizontal="center" vertical="center"/>
      <protection locked="0"/>
    </xf>
    <xf numFmtId="166" fontId="5" fillId="8" borderId="0" xfId="2" applyNumberFormat="1" applyFont="1" applyFill="1" applyAlignment="1" applyProtection="1">
      <alignment horizontal="center" vertical="center"/>
      <protection locked="0"/>
    </xf>
    <xf numFmtId="182" fontId="5" fillId="8" borderId="0" xfId="2" applyNumberFormat="1" applyFont="1" applyFill="1" applyAlignment="1" applyProtection="1">
      <alignment horizontal="center" vertical="center"/>
      <protection locked="0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3" fillId="10" borderId="2" xfId="0" quotePrefix="1" applyFont="1" applyFill="1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0" fillId="10" borderId="2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left" vertical="center" indent="1"/>
    </xf>
    <xf numFmtId="0" fontId="10" fillId="10" borderId="0" xfId="0" applyFont="1" applyFill="1"/>
    <xf numFmtId="0" fontId="11" fillId="10" borderId="0" xfId="0" applyFont="1" applyFill="1"/>
    <xf numFmtId="0" fontId="11" fillId="10" borderId="0" xfId="0" quotePrefix="1" applyFont="1" applyFill="1" applyAlignment="1">
      <alignment horizontal="left"/>
    </xf>
    <xf numFmtId="0" fontId="21" fillId="10" borderId="0" xfId="0" applyFont="1" applyFill="1"/>
    <xf numFmtId="167" fontId="5" fillId="8" borderId="0" xfId="2" applyNumberFormat="1" applyFont="1" applyFill="1" applyAlignment="1" applyProtection="1">
      <alignment horizontal="center" vertical="center"/>
      <protection locked="0"/>
    </xf>
    <xf numFmtId="185" fontId="9" fillId="8" borderId="0" xfId="2" applyNumberFormat="1" applyFont="1" applyFill="1" applyAlignment="1" applyProtection="1">
      <alignment horizontal="center" vertical="center"/>
      <protection locked="0"/>
    </xf>
    <xf numFmtId="0" fontId="5" fillId="4" borderId="0" xfId="2" applyFont="1" applyFill="1" applyAlignment="1" applyProtection="1">
      <alignment horizontal="center" vertical="center"/>
      <protection locked="0"/>
    </xf>
    <xf numFmtId="187" fontId="5" fillId="8" borderId="0" xfId="2" applyNumberFormat="1" applyFont="1" applyFill="1" applyAlignment="1" applyProtection="1">
      <alignment horizontal="center" vertical="center"/>
      <protection locked="0"/>
    </xf>
    <xf numFmtId="174" fontId="5" fillId="8" borderId="0" xfId="2" applyNumberFormat="1" applyFont="1" applyFill="1" applyAlignment="1" applyProtection="1">
      <alignment horizontal="center" vertical="center"/>
      <protection locked="0"/>
    </xf>
    <xf numFmtId="168" fontId="5" fillId="4" borderId="0" xfId="2" applyNumberFormat="1" applyFont="1" applyFill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/>
    </xf>
    <xf numFmtId="0" fontId="12" fillId="0" borderId="0" xfId="2" applyFont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20" fillId="10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center"/>
    </xf>
    <xf numFmtId="0" fontId="20" fillId="0" borderId="0" xfId="2" applyFont="1" applyAlignment="1" applyProtection="1">
      <alignment horizontal="right" vertical="center"/>
    </xf>
    <xf numFmtId="0" fontId="27" fillId="10" borderId="0" xfId="2" applyFont="1" applyFill="1" applyBorder="1" applyAlignment="1" applyProtection="1">
      <alignment horizontal="center" vertical="center" wrapText="1"/>
    </xf>
    <xf numFmtId="0" fontId="5" fillId="8" borderId="0" xfId="2" applyFont="1" applyFill="1" applyAlignment="1" applyProtection="1">
      <alignment horizontal="center" vertical="center"/>
      <protection locked="0"/>
    </xf>
    <xf numFmtId="181" fontId="5" fillId="8" borderId="0" xfId="2" applyNumberFormat="1" applyFont="1" applyFill="1" applyAlignment="1" applyProtection="1">
      <alignment horizontal="center" vertical="center"/>
      <protection locked="0"/>
    </xf>
    <xf numFmtId="184" fontId="9" fillId="8" borderId="0" xfId="2" applyNumberFormat="1" applyFont="1" applyFill="1" applyAlignment="1" applyProtection="1">
      <alignment horizontal="center" vertical="center"/>
      <protection locked="0"/>
    </xf>
    <xf numFmtId="0" fontId="10" fillId="10" borderId="0" xfId="2" applyFont="1" applyFill="1" applyAlignment="1" applyProtection="1">
      <alignment vertical="center"/>
    </xf>
    <xf numFmtId="0" fontId="5" fillId="10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vertical="center"/>
    </xf>
    <xf numFmtId="0" fontId="5" fillId="12" borderId="0" xfId="2" applyFont="1" applyFill="1" applyAlignment="1" applyProtection="1">
      <alignment vertical="center"/>
    </xf>
    <xf numFmtId="0" fontId="26" fillId="10" borderId="0" xfId="0" applyFont="1" applyFill="1" applyAlignment="1" applyProtection="1">
      <alignment horizontal="center"/>
    </xf>
    <xf numFmtId="0" fontId="0" fillId="10" borderId="0" xfId="0" applyFill="1" applyProtection="1"/>
    <xf numFmtId="0" fontId="10" fillId="2" borderId="0" xfId="2" applyFont="1" applyFill="1" applyAlignment="1" applyProtection="1">
      <alignment vertical="center"/>
    </xf>
    <xf numFmtId="0" fontId="11" fillId="2" borderId="0" xfId="2" applyFont="1" applyFill="1" applyAlignment="1" applyProtection="1">
      <alignment vertical="center"/>
    </xf>
    <xf numFmtId="0" fontId="10" fillId="12" borderId="0" xfId="2" applyFont="1" applyFill="1" applyAlignment="1" applyProtection="1">
      <alignment vertical="center"/>
    </xf>
    <xf numFmtId="0" fontId="7" fillId="10" borderId="0" xfId="2" applyFont="1" applyFill="1" applyAlignment="1" applyProtection="1">
      <alignment horizontal="center" vertical="center"/>
    </xf>
    <xf numFmtId="0" fontId="7" fillId="10" borderId="0" xfId="2" applyFont="1" applyFill="1" applyAlignment="1" applyProtection="1">
      <alignment horizontal="left" vertical="center"/>
    </xf>
    <xf numFmtId="178" fontId="5" fillId="10" borderId="0" xfId="2" applyNumberFormat="1" applyFont="1" applyFill="1" applyAlignment="1" applyProtection="1">
      <alignment horizontal="center" vertical="center"/>
    </xf>
    <xf numFmtId="0" fontId="7" fillId="10" borderId="0" xfId="2" applyFont="1" applyFill="1" applyAlignment="1" applyProtection="1">
      <alignment vertical="center"/>
    </xf>
    <xf numFmtId="0" fontId="7" fillId="10" borderId="0" xfId="2" applyFont="1" applyFill="1" applyAlignment="1" applyProtection="1">
      <alignment horizontal="right" vertical="center"/>
    </xf>
    <xf numFmtId="177" fontId="5" fillId="10" borderId="0" xfId="2" applyNumberFormat="1" applyFont="1" applyFill="1" applyAlignment="1" applyProtection="1">
      <alignment horizontal="center" vertical="center"/>
    </xf>
    <xf numFmtId="170" fontId="5" fillId="10" borderId="0" xfId="2" applyNumberFormat="1" applyFont="1" applyFill="1" applyAlignment="1" applyProtection="1">
      <alignment horizontal="center" vertical="center"/>
    </xf>
    <xf numFmtId="164" fontId="24" fillId="10" borderId="0" xfId="2" applyNumberFormat="1" applyFont="1" applyFill="1" applyAlignment="1" applyProtection="1">
      <alignment horizontal="center" vertical="center"/>
    </xf>
    <xf numFmtId="0" fontId="5" fillId="10" borderId="0" xfId="2" applyFont="1" applyFill="1" applyAlignment="1" applyProtection="1">
      <alignment horizontal="right" vertical="center"/>
    </xf>
    <xf numFmtId="173" fontId="5" fillId="12" borderId="0" xfId="2" applyNumberFormat="1" applyFont="1" applyFill="1" applyAlignment="1" applyProtection="1">
      <alignment horizontal="center" vertical="center"/>
    </xf>
    <xf numFmtId="177" fontId="7" fillId="15" borderId="0" xfId="2" applyNumberFormat="1" applyFont="1" applyFill="1" applyAlignment="1" applyProtection="1">
      <alignment horizontal="center" vertical="center"/>
    </xf>
    <xf numFmtId="0" fontId="6" fillId="10" borderId="0" xfId="2" applyFont="1" applyFill="1" applyAlignment="1" applyProtection="1">
      <alignment horizontal="left" vertical="center"/>
    </xf>
    <xf numFmtId="179" fontId="5" fillId="10" borderId="0" xfId="1" applyNumberFormat="1" applyFont="1" applyFill="1" applyAlignment="1" applyProtection="1">
      <alignment horizontal="center" vertical="center"/>
    </xf>
    <xf numFmtId="0" fontId="23" fillId="10" borderId="0" xfId="2" applyFont="1" applyFill="1" applyAlignment="1" applyProtection="1">
      <alignment horizontal="right" vertical="center"/>
    </xf>
    <xf numFmtId="179" fontId="7" fillId="15" borderId="0" xfId="1" applyNumberFormat="1" applyFont="1" applyFill="1" applyAlignment="1" applyProtection="1">
      <alignment horizontal="center" vertical="center"/>
    </xf>
    <xf numFmtId="179" fontId="5" fillId="10" borderId="0" xfId="2" applyNumberFormat="1" applyFont="1" applyFill="1" applyAlignment="1" applyProtection="1">
      <alignment horizontal="center" vertical="center"/>
    </xf>
    <xf numFmtId="0" fontId="10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/>
    </xf>
    <xf numFmtId="0" fontId="9" fillId="7" borderId="2" xfId="2" applyFont="1" applyFill="1" applyBorder="1" applyAlignment="1" applyProtection="1">
      <alignment horizontal="center" vertical="center" wrapText="1"/>
    </xf>
    <xf numFmtId="0" fontId="9" fillId="6" borderId="2" xfId="2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 vertical="center"/>
    </xf>
    <xf numFmtId="0" fontId="9" fillId="6" borderId="2" xfId="2" applyFont="1" applyFill="1" applyBorder="1" applyAlignment="1" applyProtection="1">
      <alignment horizontal="center" vertical="center"/>
    </xf>
    <xf numFmtId="0" fontId="9" fillId="13" borderId="2" xfId="2" applyFont="1" applyFill="1" applyBorder="1" applyAlignment="1" applyProtection="1">
      <alignment horizontal="center" vertical="center"/>
    </xf>
    <xf numFmtId="0" fontId="9" fillId="9" borderId="2" xfId="2" applyFont="1" applyFill="1" applyBorder="1" applyAlignment="1" applyProtection="1">
      <alignment horizontal="center" vertical="center"/>
    </xf>
    <xf numFmtId="177" fontId="9" fillId="0" borderId="0" xfId="2" applyNumberFormat="1" applyFont="1" applyAlignment="1" applyProtection="1">
      <alignment horizontal="left" vertical="center"/>
    </xf>
    <xf numFmtId="0" fontId="9" fillId="0" borderId="0" xfId="2" applyFont="1" applyBorder="1" applyAlignment="1" applyProtection="1">
      <alignment horizontal="right" vertical="center"/>
    </xf>
    <xf numFmtId="186" fontId="12" fillId="7" borderId="2" xfId="2" applyNumberFormat="1" applyFont="1" applyFill="1" applyBorder="1" applyAlignment="1" applyProtection="1">
      <alignment horizontal="center" vertical="center"/>
    </xf>
    <xf numFmtId="186" fontId="12" fillId="6" borderId="2" xfId="2" applyNumberFormat="1" applyFont="1" applyFill="1" applyBorder="1" applyAlignment="1" applyProtection="1">
      <alignment horizontal="center" vertical="center"/>
    </xf>
    <xf numFmtId="181" fontId="12" fillId="13" borderId="2" xfId="2" applyNumberFormat="1" applyFont="1" applyFill="1" applyBorder="1" applyAlignment="1" applyProtection="1">
      <alignment horizontal="center" vertical="center"/>
    </xf>
    <xf numFmtId="181" fontId="12" fillId="9" borderId="2" xfId="2" applyNumberFormat="1" applyFont="1" applyFill="1" applyBorder="1" applyAlignment="1" applyProtection="1">
      <alignment horizontal="center" vertical="center"/>
    </xf>
    <xf numFmtId="185" fontId="9" fillId="0" borderId="0" xfId="2" applyNumberFormat="1" applyFont="1" applyFill="1" applyAlignment="1" applyProtection="1">
      <alignment horizontal="left" vertical="center"/>
    </xf>
    <xf numFmtId="184" fontId="9" fillId="0" borderId="0" xfId="2" applyNumberFormat="1" applyFont="1" applyAlignment="1" applyProtection="1">
      <alignment horizontal="left" vertical="center"/>
    </xf>
    <xf numFmtId="184" fontId="9" fillId="0" borderId="0" xfId="2" applyNumberFormat="1" applyFont="1" applyAlignment="1" applyProtection="1">
      <alignment horizontal="center" vertical="center"/>
    </xf>
    <xf numFmtId="0" fontId="4" fillId="0" borderId="0" xfId="2" applyFont="1" applyFill="1" applyAlignment="1" applyProtection="1">
      <alignment vertical="center"/>
    </xf>
    <xf numFmtId="0" fontId="9" fillId="0" borderId="0" xfId="2" applyFont="1" applyAlignment="1" applyProtection="1">
      <alignment vertical="center"/>
    </xf>
    <xf numFmtId="0" fontId="10" fillId="3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center" vertical="center"/>
    </xf>
    <xf numFmtId="0" fontId="23" fillId="0" borderId="0" xfId="2" applyFont="1" applyFill="1" applyAlignment="1" applyProtection="1">
      <alignment horizontal="center" vertical="center"/>
    </xf>
    <xf numFmtId="0" fontId="5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left" vertical="center"/>
    </xf>
    <xf numFmtId="166" fontId="5" fillId="0" borderId="0" xfId="2" applyNumberFormat="1" applyFont="1" applyFill="1" applyAlignment="1" applyProtection="1">
      <alignment horizontal="center" vertical="center"/>
    </xf>
    <xf numFmtId="182" fontId="5" fillId="0" borderId="0" xfId="2" applyNumberFormat="1" applyFont="1" applyAlignment="1" applyProtection="1">
      <alignment horizontal="center" vertical="center"/>
    </xf>
    <xf numFmtId="167" fontId="5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170" fontId="5" fillId="0" borderId="0" xfId="2" applyNumberFormat="1" applyFont="1" applyAlignment="1" applyProtection="1">
      <alignment horizontal="center" vertical="center"/>
    </xf>
    <xf numFmtId="179" fontId="5" fillId="0" borderId="0" xfId="1" applyNumberFormat="1" applyFont="1" applyAlignment="1" applyProtection="1">
      <alignment horizontal="center" vertical="center"/>
    </xf>
    <xf numFmtId="182" fontId="5" fillId="0" borderId="0" xfId="2" applyNumberFormat="1" applyFont="1" applyFill="1" applyAlignment="1" applyProtection="1">
      <alignment horizontal="center" vertical="center"/>
    </xf>
    <xf numFmtId="187" fontId="5" fillId="0" borderId="0" xfId="2" applyNumberFormat="1" applyFont="1" applyAlignment="1" applyProtection="1">
      <alignment horizontal="center" vertical="center"/>
    </xf>
    <xf numFmtId="171" fontId="5" fillId="0" borderId="0" xfId="2" applyNumberFormat="1" applyFont="1" applyAlignment="1" applyProtection="1">
      <alignment horizontal="center" vertical="center"/>
    </xf>
    <xf numFmtId="167" fontId="5" fillId="0" borderId="0" xfId="2" applyNumberFormat="1" applyFont="1" applyFill="1" applyAlignment="1" applyProtection="1">
      <alignment horizontal="center" vertical="center"/>
    </xf>
    <xf numFmtId="180" fontId="5" fillId="0" borderId="0" xfId="2" applyNumberFormat="1" applyFont="1" applyFill="1" applyAlignment="1" applyProtection="1">
      <alignment horizontal="center" vertical="center"/>
    </xf>
    <xf numFmtId="172" fontId="20" fillId="0" borderId="0" xfId="2" applyNumberFormat="1" applyFont="1" applyAlignment="1" applyProtection="1">
      <alignment horizontal="center" vertical="center"/>
    </xf>
    <xf numFmtId="164" fontId="24" fillId="0" borderId="0" xfId="2" applyNumberFormat="1" applyFont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164" fontId="5" fillId="0" borderId="0" xfId="2" applyNumberFormat="1" applyFont="1" applyAlignment="1" applyProtection="1">
      <alignment horizontal="center" vertical="center"/>
    </xf>
    <xf numFmtId="181" fontId="5" fillId="0" borderId="0" xfId="2" applyNumberFormat="1" applyFont="1" applyFill="1" applyAlignment="1" applyProtection="1">
      <alignment horizontal="center" vertical="center"/>
    </xf>
    <xf numFmtId="183" fontId="24" fillId="0" borderId="0" xfId="2" applyNumberFormat="1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24" fillId="0" borderId="0" xfId="2" applyFont="1" applyAlignment="1" applyProtection="1">
      <alignment horizontal="center" vertical="center"/>
    </xf>
    <xf numFmtId="175" fontId="5" fillId="0" borderId="0" xfId="2" applyNumberFormat="1" applyFont="1" applyAlignment="1" applyProtection="1">
      <alignment horizontal="center" vertical="center"/>
    </xf>
    <xf numFmtId="179" fontId="5" fillId="0" borderId="0" xfId="1" quotePrefix="1" applyNumberFormat="1" applyFont="1" applyAlignment="1" applyProtection="1">
      <alignment horizontal="center" vertical="center"/>
    </xf>
    <xf numFmtId="168" fontId="5" fillId="0" borderId="0" xfId="2" applyNumberFormat="1" applyFont="1" applyAlignment="1" applyProtection="1">
      <alignment horizontal="center" vertical="center"/>
    </xf>
    <xf numFmtId="0" fontId="5" fillId="0" borderId="0" xfId="2" applyFont="1" applyFill="1" applyAlignment="1" applyProtection="1">
      <alignment horizontal="right" vertical="center"/>
    </xf>
    <xf numFmtId="0" fontId="7" fillId="0" borderId="0" xfId="2" applyFont="1" applyAlignment="1" applyProtection="1">
      <alignment horizontal="right" vertical="center"/>
    </xf>
    <xf numFmtId="176" fontId="5" fillId="0" borderId="0" xfId="2" applyNumberFormat="1" applyFont="1" applyAlignment="1" applyProtection="1">
      <alignment horizontal="center" vertical="center"/>
    </xf>
    <xf numFmtId="179" fontId="5" fillId="0" borderId="0" xfId="1" applyNumberFormat="1" applyFont="1" applyAlignment="1" applyProtection="1">
      <alignment horizontal="left" vertical="center"/>
    </xf>
    <xf numFmtId="173" fontId="5" fillId="0" borderId="0" xfId="2" applyNumberFormat="1" applyFont="1" applyAlignment="1" applyProtection="1">
      <alignment horizontal="center" vertical="center"/>
    </xf>
    <xf numFmtId="176" fontId="5" fillId="10" borderId="0" xfId="2" applyNumberFormat="1" applyFont="1" applyFill="1" applyAlignment="1" applyProtection="1">
      <alignment horizontal="center" vertical="center"/>
    </xf>
    <xf numFmtId="173" fontId="5" fillId="10" borderId="0" xfId="2" applyNumberFormat="1" applyFont="1" applyFill="1" applyAlignment="1" applyProtection="1">
      <alignment horizontal="center" vertical="center"/>
    </xf>
    <xf numFmtId="177" fontId="5" fillId="0" borderId="0" xfId="2" applyNumberFormat="1" applyFont="1" applyFill="1" applyAlignment="1" applyProtection="1">
      <alignment horizontal="center" vertical="center"/>
    </xf>
    <xf numFmtId="0" fontId="5" fillId="0" borderId="0" xfId="2" applyFont="1" applyAlignment="1" applyProtection="1">
      <alignment horizontal="right" vertical="center"/>
    </xf>
    <xf numFmtId="170" fontId="5" fillId="0" borderId="0" xfId="2" applyNumberFormat="1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/>
    </xf>
    <xf numFmtId="177" fontId="5" fillId="0" borderId="0" xfId="2" applyNumberFormat="1" applyFont="1" applyAlignment="1" applyProtection="1">
      <alignment horizontal="center" vertical="center"/>
    </xf>
    <xf numFmtId="0" fontId="9" fillId="0" borderId="0" xfId="2" applyFont="1" applyAlignment="1" applyProtection="1">
      <alignment horizontal="right" vertical="center"/>
    </xf>
    <xf numFmtId="177" fontId="12" fillId="0" borderId="0" xfId="2" quotePrefix="1" applyNumberFormat="1" applyFont="1" applyFill="1" applyBorder="1" applyAlignment="1" applyProtection="1">
      <alignment horizontal="center" vertical="center"/>
    </xf>
    <xf numFmtId="0" fontId="12" fillId="0" borderId="0" xfId="2" quotePrefix="1" applyFont="1" applyFill="1" applyAlignment="1" applyProtection="1">
      <alignment horizontal="center" vertical="center"/>
    </xf>
    <xf numFmtId="188" fontId="5" fillId="0" borderId="0" xfId="2" applyNumberFormat="1" applyFont="1" applyAlignment="1" applyProtection="1">
      <alignment horizontal="center" vertical="center"/>
    </xf>
    <xf numFmtId="0" fontId="6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horizontal="right" vertical="center"/>
    </xf>
    <xf numFmtId="170" fontId="9" fillId="15" borderId="0" xfId="2" quotePrefix="1" applyNumberFormat="1" applyFont="1" applyFill="1" applyBorder="1" applyAlignment="1" applyProtection="1">
      <alignment horizontal="center" vertical="center"/>
    </xf>
    <xf numFmtId="170" fontId="9" fillId="0" borderId="0" xfId="2" quotePrefix="1" applyNumberFormat="1" applyFont="1" applyFill="1" applyBorder="1" applyAlignment="1" applyProtection="1">
      <alignment horizontal="center" vertical="center"/>
    </xf>
    <xf numFmtId="0" fontId="12" fillId="0" borderId="0" xfId="2" quotePrefix="1" applyFont="1" applyAlignment="1" applyProtection="1">
      <alignment horizontal="center" vertical="center"/>
    </xf>
    <xf numFmtId="178" fontId="5" fillId="0" borderId="0" xfId="2" applyNumberFormat="1" applyFont="1" applyAlignment="1" applyProtection="1">
      <alignment horizontal="center" vertical="center"/>
    </xf>
    <xf numFmtId="178" fontId="22" fillId="0" borderId="0" xfId="2" applyNumberFormat="1" applyFont="1" applyAlignment="1" applyProtection="1">
      <alignment horizontal="center" vertical="center"/>
    </xf>
    <xf numFmtId="189" fontId="9" fillId="0" borderId="0" xfId="2" quotePrefix="1" applyNumberFormat="1" applyFont="1" applyFill="1" applyBorder="1" applyAlignment="1" applyProtection="1">
      <alignment horizontal="center" vertical="center"/>
    </xf>
    <xf numFmtId="169" fontId="5" fillId="0" borderId="0" xfId="2" applyNumberFormat="1" applyFont="1" applyAlignment="1" applyProtection="1">
      <alignment horizontal="center" vertical="center"/>
    </xf>
    <xf numFmtId="169" fontId="22" fillId="0" borderId="0" xfId="2" applyNumberFormat="1" applyFont="1" applyAlignment="1" applyProtection="1">
      <alignment horizontal="center" vertical="center"/>
    </xf>
    <xf numFmtId="179" fontId="5" fillId="0" borderId="0" xfId="2" applyNumberFormat="1" applyFont="1" applyFill="1" applyAlignment="1" applyProtection="1">
      <alignment horizontal="center" vertical="center"/>
    </xf>
    <xf numFmtId="0" fontId="8" fillId="0" borderId="0" xfId="2" applyFont="1" applyAlignment="1" applyProtection="1">
      <alignment horizontal="right" vertical="center"/>
    </xf>
    <xf numFmtId="0" fontId="7" fillId="5" borderId="1" xfId="2" applyFont="1" applyFill="1" applyBorder="1" applyAlignment="1" applyProtection="1">
      <alignment horizontal="center" vertical="center"/>
    </xf>
    <xf numFmtId="189" fontId="9" fillId="15" borderId="0" xfId="2" quotePrefix="1" applyNumberFormat="1" applyFont="1" applyFill="1" applyBorder="1" applyAlignment="1" applyProtection="1">
      <alignment horizontal="center" vertical="center"/>
    </xf>
    <xf numFmtId="0" fontId="5" fillId="0" borderId="0" xfId="2" quotePrefix="1" applyFont="1" applyFill="1" applyAlignment="1" applyProtection="1">
      <alignment horizontal="center" vertical="center"/>
    </xf>
    <xf numFmtId="0" fontId="23" fillId="0" borderId="0" xfId="2" applyFont="1" applyFill="1" applyAlignment="1" applyProtection="1">
      <alignment horizontal="right" vertical="center"/>
    </xf>
    <xf numFmtId="179" fontId="9" fillId="15" borderId="0" xfId="1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right" vertical="center"/>
    </xf>
    <xf numFmtId="165" fontId="5" fillId="0" borderId="0" xfId="2" applyNumberFormat="1" applyFont="1" applyAlignment="1" applyProtection="1">
      <alignment horizontal="center" vertical="center"/>
    </xf>
    <xf numFmtId="0" fontId="6" fillId="10" borderId="0" xfId="2" applyFont="1" applyFill="1" applyAlignment="1" applyProtection="1">
      <alignment horizontal="right" vertical="center"/>
    </xf>
    <xf numFmtId="165" fontId="5" fillId="10" borderId="0" xfId="2" applyNumberFormat="1" applyFont="1" applyFill="1" applyAlignment="1" applyProtection="1">
      <alignment horizontal="center" vertical="center"/>
    </xf>
    <xf numFmtId="164" fontId="5" fillId="0" borderId="0" xfId="2" applyNumberFormat="1" applyFont="1" applyFill="1" applyAlignment="1" applyProtection="1">
      <alignment horizontal="center" vertical="center"/>
    </xf>
    <xf numFmtId="0" fontId="10" fillId="12" borderId="3" xfId="2" applyFont="1" applyFill="1" applyBorder="1" applyAlignment="1" applyProtection="1">
      <alignment vertical="center"/>
    </xf>
    <xf numFmtId="0" fontId="10" fillId="12" borderId="4" xfId="2" applyFont="1" applyFill="1" applyBorder="1" applyAlignment="1" applyProtection="1">
      <alignment vertical="center"/>
    </xf>
    <xf numFmtId="0" fontId="5" fillId="12" borderId="4" xfId="2" applyFont="1" applyFill="1" applyBorder="1" applyAlignment="1" applyProtection="1">
      <alignment vertical="center"/>
    </xf>
    <xf numFmtId="173" fontId="5" fillId="12" borderId="4" xfId="2" applyNumberFormat="1" applyFont="1" applyFill="1" applyBorder="1" applyAlignment="1" applyProtection="1">
      <alignment horizontal="center" vertical="center"/>
    </xf>
    <xf numFmtId="190" fontId="5" fillId="0" borderId="0" xfId="2" applyNumberFormat="1" applyFont="1" applyAlignment="1" applyProtection="1">
      <alignment horizontal="center" vertical="center"/>
    </xf>
    <xf numFmtId="0" fontId="5" fillId="12" borderId="5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vertical="center"/>
    </xf>
    <xf numFmtId="15" fontId="3" fillId="10" borderId="2" xfId="0" applyNumberFormat="1" applyFont="1" applyFill="1" applyBorder="1" applyAlignment="1">
      <alignment horizontal="center" vertical="center"/>
    </xf>
    <xf numFmtId="0" fontId="28" fillId="14" borderId="0" xfId="0" applyFont="1" applyFill="1" applyAlignment="1">
      <alignment vertical="center"/>
    </xf>
    <xf numFmtId="0" fontId="28" fillId="14" borderId="0" xfId="0" applyFont="1" applyFill="1" applyAlignment="1">
      <alignment horizontal="left" vertical="center"/>
    </xf>
    <xf numFmtId="0" fontId="28" fillId="14" borderId="12" xfId="0" applyFont="1" applyFill="1" applyBorder="1" applyAlignment="1">
      <alignment vertical="center"/>
    </xf>
    <xf numFmtId="0" fontId="28" fillId="14" borderId="12" xfId="0" applyFont="1" applyFill="1" applyBorder="1" applyAlignment="1">
      <alignment horizontal="left" vertical="center"/>
    </xf>
    <xf numFmtId="0" fontId="17" fillId="4" borderId="0" xfId="3" applyFont="1" applyFill="1" applyAlignment="1">
      <alignment vertical="center"/>
    </xf>
    <xf numFmtId="0" fontId="18" fillId="4" borderId="0" xfId="3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16" fillId="11" borderId="0" xfId="3" applyFont="1" applyFill="1" applyAlignment="1">
      <alignment vertical="center"/>
    </xf>
    <xf numFmtId="0" fontId="16" fillId="4" borderId="0" xfId="3" applyFont="1" applyFill="1" applyAlignment="1">
      <alignment vertical="center"/>
    </xf>
    <xf numFmtId="0" fontId="2" fillId="11" borderId="0" xfId="3" applyFill="1" applyAlignment="1">
      <alignment vertical="center"/>
    </xf>
    <xf numFmtId="0" fontId="13" fillId="11" borderId="0" xfId="3" applyFont="1" applyFill="1" applyAlignment="1">
      <alignment vertical="center"/>
    </xf>
    <xf numFmtId="0" fontId="2" fillId="4" borderId="0" xfId="3" applyFill="1" applyAlignment="1">
      <alignment vertical="center"/>
    </xf>
    <xf numFmtId="0" fontId="28" fillId="11" borderId="0" xfId="0" applyFont="1" applyFill="1" applyAlignment="1">
      <alignment vertical="center"/>
    </xf>
    <xf numFmtId="0" fontId="14" fillId="11" borderId="0" xfId="3" applyFont="1" applyFill="1" applyAlignment="1">
      <alignment vertical="center"/>
    </xf>
    <xf numFmtId="0" fontId="15" fillId="11" borderId="0" xfId="3" applyFont="1" applyFill="1" applyAlignment="1">
      <alignment vertical="center"/>
    </xf>
    <xf numFmtId="0" fontId="17" fillId="11" borderId="0" xfId="3" applyFont="1" applyFill="1" applyAlignment="1">
      <alignment vertical="center"/>
    </xf>
    <xf numFmtId="0" fontId="28" fillId="11" borderId="0" xfId="0" applyFont="1" applyFill="1" applyAlignment="1">
      <alignment horizontal="left" vertical="center"/>
    </xf>
    <xf numFmtId="0" fontId="29" fillId="11" borderId="2" xfId="2" applyFont="1" applyFill="1" applyBorder="1" applyAlignment="1" applyProtection="1">
      <alignment horizontal="right" vertical="center"/>
    </xf>
    <xf numFmtId="0" fontId="28" fillId="11" borderId="2" xfId="0" applyFont="1" applyFill="1" applyBorder="1" applyAlignment="1">
      <alignment vertical="center"/>
    </xf>
    <xf numFmtId="0" fontId="28" fillId="11" borderId="2" xfId="0" applyFont="1" applyFill="1" applyBorder="1" applyAlignment="1">
      <alignment horizontal="left" vertical="center"/>
    </xf>
    <xf numFmtId="0" fontId="28" fillId="11" borderId="2" xfId="0" applyFont="1" applyFill="1" applyBorder="1" applyAlignment="1">
      <alignment horizontal="left" vertical="center" wrapText="1"/>
    </xf>
    <xf numFmtId="0" fontId="29" fillId="11" borderId="11" xfId="2" applyFont="1" applyFill="1" applyBorder="1" applyAlignment="1" applyProtection="1">
      <alignment horizontal="right" vertical="center"/>
    </xf>
    <xf numFmtId="0" fontId="28" fillId="11" borderId="11" xfId="0" applyFont="1" applyFill="1" applyBorder="1" applyAlignment="1">
      <alignment vertical="center"/>
    </xf>
    <xf numFmtId="0" fontId="28" fillId="11" borderId="11" xfId="0" applyFont="1" applyFill="1" applyBorder="1" applyAlignment="1">
      <alignment horizontal="left" vertical="center"/>
    </xf>
    <xf numFmtId="0" fontId="16" fillId="14" borderId="0" xfId="3" applyFont="1" applyFill="1" applyAlignment="1">
      <alignment horizontal="right" vertical="center"/>
    </xf>
    <xf numFmtId="0" fontId="16" fillId="14" borderId="12" xfId="3" applyFont="1" applyFill="1" applyBorder="1" applyAlignment="1">
      <alignment horizontal="right" vertical="center"/>
    </xf>
    <xf numFmtId="0" fontId="13" fillId="11" borderId="0" xfId="3" applyFont="1" applyFill="1" applyAlignment="1">
      <alignment horizontal="right" vertical="center"/>
    </xf>
    <xf numFmtId="0" fontId="24" fillId="0" borderId="0" xfId="2" applyFont="1" applyAlignment="1" applyProtection="1">
      <alignment vertical="center"/>
    </xf>
    <xf numFmtId="181" fontId="24" fillId="0" borderId="0" xfId="2" applyNumberFormat="1" applyFont="1" applyFill="1" applyAlignment="1" applyProtection="1">
      <alignment horizontal="center" vertical="center"/>
    </xf>
    <xf numFmtId="0" fontId="32" fillId="10" borderId="0" xfId="2" applyFont="1" applyFill="1" applyAlignment="1" applyProtection="1">
      <alignment horizontal="center" vertical="center"/>
    </xf>
    <xf numFmtId="0" fontId="22" fillId="10" borderId="0" xfId="2" applyFont="1" applyFill="1" applyAlignment="1" applyProtection="1">
      <alignment horizontal="center" vertical="center"/>
    </xf>
    <xf numFmtId="0" fontId="33" fillId="10" borderId="0" xfId="2" applyFont="1" applyFill="1" applyAlignment="1" applyProtection="1">
      <alignment horizontal="center" vertical="center"/>
    </xf>
    <xf numFmtId="0" fontId="31" fillId="10" borderId="0" xfId="2" applyFont="1" applyFill="1" applyAlignment="1" applyProtection="1">
      <alignment horizontal="center" vertical="center"/>
    </xf>
    <xf numFmtId="0" fontId="34" fillId="10" borderId="0" xfId="2" applyFont="1" applyFill="1" applyBorder="1" applyAlignment="1" applyProtection="1">
      <alignment horizontal="center" vertical="center" wrapText="1"/>
    </xf>
    <xf numFmtId="0" fontId="32" fillId="0" borderId="0" xfId="2" applyFont="1" applyAlignment="1" applyProtection="1">
      <alignment vertical="center"/>
    </xf>
    <xf numFmtId="0" fontId="22" fillId="10" borderId="0" xfId="2" applyFont="1" applyFill="1" applyAlignment="1" applyProtection="1">
      <alignment vertical="center"/>
    </xf>
    <xf numFmtId="0" fontId="22" fillId="0" borderId="0" xfId="2" applyFont="1" applyAlignment="1" applyProtection="1">
      <alignment vertical="center"/>
    </xf>
    <xf numFmtId="0" fontId="33" fillId="10" borderId="0" xfId="2" applyFont="1" applyFill="1" applyAlignment="1" applyProtection="1">
      <alignment vertical="center"/>
    </xf>
    <xf numFmtId="0" fontId="33" fillId="0" borderId="0" xfId="2" applyFont="1" applyAlignment="1" applyProtection="1">
      <alignment vertical="center"/>
    </xf>
    <xf numFmtId="0" fontId="31" fillId="10" borderId="0" xfId="2" applyFont="1" applyFill="1" applyAlignment="1" applyProtection="1">
      <alignment vertical="center"/>
    </xf>
    <xf numFmtId="0" fontId="31" fillId="0" borderId="0" xfId="2" applyFont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180" fontId="5" fillId="0" borderId="0" xfId="2" applyNumberFormat="1" applyFont="1" applyFill="1" applyBorder="1" applyAlignment="1" applyProtection="1">
      <alignment horizontal="center" vertical="center"/>
    </xf>
    <xf numFmtId="182" fontId="5" fillId="8" borderId="0" xfId="2" applyNumberFormat="1" applyFont="1" applyFill="1" applyBorder="1" applyAlignment="1" applyProtection="1">
      <alignment horizontal="center" vertical="center"/>
      <protection locked="0"/>
    </xf>
    <xf numFmtId="181" fontId="5" fillId="0" borderId="0" xfId="2" applyNumberFormat="1" applyFont="1" applyFill="1" applyBorder="1" applyAlignment="1" applyProtection="1">
      <alignment horizontal="center" vertical="center"/>
    </xf>
    <xf numFmtId="0" fontId="5" fillId="0" borderId="12" xfId="2" applyFont="1" applyBorder="1" applyAlignment="1" applyProtection="1">
      <alignment vertical="center"/>
    </xf>
    <xf numFmtId="171" fontId="5" fillId="0" borderId="12" xfId="2" applyNumberFormat="1" applyFont="1" applyBorder="1" applyAlignment="1" applyProtection="1">
      <alignment horizontal="center" vertical="center"/>
    </xf>
    <xf numFmtId="168" fontId="5" fillId="0" borderId="0" xfId="2" applyNumberFormat="1" applyFont="1" applyFill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</xf>
    <xf numFmtId="0" fontId="5" fillId="10" borderId="2" xfId="2" applyFont="1" applyFill="1" applyBorder="1" applyAlignment="1" applyProtection="1">
      <alignment horizontal="center" vertical="center"/>
    </xf>
    <xf numFmtId="0" fontId="3" fillId="0" borderId="0" xfId="0" applyFont="1"/>
    <xf numFmtId="0" fontId="5" fillId="10" borderId="2" xfId="2" applyFont="1" applyFill="1" applyBorder="1" applyAlignment="1" applyProtection="1">
      <alignment horizontal="center" vertical="center"/>
    </xf>
    <xf numFmtId="2" fontId="39" fillId="7" borderId="2" xfId="4" applyNumberFormat="1" applyFont="1" applyFill="1" applyBorder="1" applyAlignment="1" applyProtection="1">
      <alignment horizontal="center" vertical="center"/>
      <protection locked="0"/>
    </xf>
    <xf numFmtId="0" fontId="39" fillId="16" borderId="2" xfId="4" applyFont="1" applyFill="1" applyBorder="1" applyAlignment="1" applyProtection="1">
      <alignment horizontal="center" vertical="center"/>
      <protection locked="0"/>
    </xf>
    <xf numFmtId="0" fontId="36" fillId="16" borderId="2" xfId="4" applyFont="1" applyFill="1" applyBorder="1" applyAlignment="1" applyProtection="1">
      <alignment horizontal="center" vertical="center"/>
      <protection locked="0"/>
    </xf>
    <xf numFmtId="2" fontId="36" fillId="16" borderId="2" xfId="4" applyNumberFormat="1" applyFont="1" applyFill="1" applyBorder="1" applyAlignment="1" applyProtection="1">
      <alignment horizontal="center" vertical="center"/>
      <protection locked="0"/>
    </xf>
    <xf numFmtId="192" fontId="39" fillId="7" borderId="2" xfId="4" applyNumberFormat="1" applyFont="1" applyFill="1" applyBorder="1" applyAlignment="1" applyProtection="1">
      <alignment horizontal="center" vertical="center"/>
      <protection locked="0"/>
    </xf>
    <xf numFmtId="1" fontId="39" fillId="7" borderId="2" xfId="4" applyNumberFormat="1" applyFont="1" applyFill="1" applyBorder="1" applyAlignment="1" applyProtection="1">
      <alignment horizontal="center" vertical="center"/>
      <protection locked="0"/>
    </xf>
    <xf numFmtId="2" fontId="39" fillId="7" borderId="2" xfId="0" applyNumberFormat="1" applyFont="1" applyFill="1" applyBorder="1" applyAlignment="1" applyProtection="1">
      <alignment horizontal="center" vertical="center"/>
      <protection locked="0"/>
    </xf>
    <xf numFmtId="0" fontId="3" fillId="16" borderId="2" xfId="0" applyFont="1" applyFill="1" applyBorder="1" applyAlignment="1" applyProtection="1">
      <alignment horizontal="center" vertical="center"/>
      <protection locked="0"/>
    </xf>
    <xf numFmtId="0" fontId="36" fillId="10" borderId="2" xfId="4" applyFont="1" applyFill="1" applyBorder="1" applyAlignment="1" applyProtection="1">
      <alignment horizontal="center" vertical="center"/>
    </xf>
    <xf numFmtId="0" fontId="3" fillId="10" borderId="2" xfId="0" applyFont="1" applyFill="1" applyBorder="1" applyAlignment="1" applyProtection="1">
      <alignment horizontal="center" vertical="center"/>
    </xf>
    <xf numFmtId="0" fontId="36" fillId="10" borderId="0" xfId="4" applyFont="1" applyFill="1" applyAlignment="1" applyProtection="1">
      <alignment vertical="center"/>
    </xf>
    <xf numFmtId="0" fontId="36" fillId="10" borderId="0" xfId="4" applyFont="1" applyFill="1" applyAlignment="1" applyProtection="1">
      <alignment horizontal="center" vertical="center"/>
    </xf>
    <xf numFmtId="0" fontId="36" fillId="10" borderId="0" xfId="4" applyFont="1" applyFill="1" applyBorder="1" applyAlignment="1" applyProtection="1">
      <alignment vertical="center"/>
    </xf>
    <xf numFmtId="0" fontId="36" fillId="10" borderId="0" xfId="4" applyFont="1" applyFill="1" applyBorder="1" applyAlignment="1" applyProtection="1">
      <alignment horizontal="center" vertical="center"/>
    </xf>
    <xf numFmtId="0" fontId="1" fillId="10" borderId="0" xfId="4" applyFill="1" applyAlignment="1" applyProtection="1">
      <alignment vertical="center"/>
    </xf>
    <xf numFmtId="0" fontId="1" fillId="14" borderId="0" xfId="4" applyFill="1" applyAlignment="1" applyProtection="1">
      <alignment vertical="center"/>
    </xf>
    <xf numFmtId="0" fontId="36" fillId="10" borderId="2" xfId="4" applyFont="1" applyFill="1" applyBorder="1" applyAlignment="1" applyProtection="1">
      <alignment vertical="center"/>
    </xf>
    <xf numFmtId="0" fontId="39" fillId="10" borderId="0" xfId="4" applyFont="1" applyFill="1" applyAlignment="1" applyProtection="1">
      <alignment vertical="center"/>
    </xf>
    <xf numFmtId="0" fontId="39" fillId="10" borderId="2" xfId="4" applyFont="1" applyFill="1" applyBorder="1" applyAlignment="1" applyProtection="1">
      <alignment vertical="center"/>
    </xf>
    <xf numFmtId="0" fontId="39" fillId="10" borderId="2" xfId="4" applyFont="1" applyFill="1" applyBorder="1" applyAlignment="1" applyProtection="1">
      <alignment horizontal="center" vertical="center"/>
    </xf>
    <xf numFmtId="0" fontId="39" fillId="10" borderId="0" xfId="4" applyFont="1" applyFill="1" applyBorder="1" applyAlignment="1" applyProtection="1">
      <alignment vertical="center"/>
    </xf>
    <xf numFmtId="0" fontId="39" fillId="10" borderId="0" xfId="4" applyFont="1" applyFill="1" applyBorder="1" applyAlignment="1" applyProtection="1">
      <alignment horizontal="center" vertical="center"/>
    </xf>
    <xf numFmtId="0" fontId="35" fillId="14" borderId="0" xfId="4" applyFont="1" applyFill="1" applyAlignment="1" applyProtection="1">
      <alignment vertical="center"/>
    </xf>
    <xf numFmtId="0" fontId="35" fillId="10" borderId="0" xfId="4" applyFont="1" applyFill="1" applyAlignment="1" applyProtection="1">
      <alignment vertical="center"/>
    </xf>
    <xf numFmtId="2" fontId="36" fillId="17" borderId="2" xfId="4" applyNumberFormat="1" applyFont="1" applyFill="1" applyBorder="1" applyAlignment="1" applyProtection="1">
      <alignment horizontal="center" vertical="center"/>
    </xf>
    <xf numFmtId="2" fontId="36" fillId="10" borderId="0" xfId="4" applyNumberFormat="1" applyFont="1" applyFill="1" applyBorder="1" applyAlignment="1" applyProtection="1">
      <alignment horizontal="center" vertical="center"/>
    </xf>
    <xf numFmtId="0" fontId="39" fillId="0" borderId="2" xfId="4" applyFont="1" applyFill="1" applyBorder="1" applyAlignment="1" applyProtection="1">
      <alignment vertical="center"/>
    </xf>
    <xf numFmtId="2" fontId="39" fillId="7" borderId="2" xfId="4" applyNumberFormat="1" applyFont="1" applyFill="1" applyBorder="1" applyAlignment="1" applyProtection="1">
      <alignment horizontal="center" vertical="center"/>
    </xf>
    <xf numFmtId="2" fontId="39" fillId="10" borderId="0" xfId="4" applyNumberFormat="1" applyFont="1" applyFill="1" applyBorder="1" applyAlignment="1" applyProtection="1">
      <alignment horizontal="center" vertical="center"/>
    </xf>
    <xf numFmtId="0" fontId="36" fillId="0" borderId="2" xfId="4" applyFont="1" applyBorder="1" applyAlignment="1" applyProtection="1">
      <alignment vertical="center"/>
    </xf>
    <xf numFmtId="0" fontId="36" fillId="0" borderId="2" xfId="4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2" fontId="36" fillId="0" borderId="2" xfId="4" applyNumberFormat="1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2" fontId="3" fillId="17" borderId="2" xfId="0" applyNumberFormat="1" applyFont="1" applyFill="1" applyBorder="1" applyAlignment="1" applyProtection="1">
      <alignment horizontal="center" vertical="center"/>
    </xf>
    <xf numFmtId="0" fontId="39" fillId="0" borderId="2" xfId="4" applyFont="1" applyBorder="1" applyAlignment="1" applyProtection="1">
      <alignment vertical="center" wrapText="1"/>
    </xf>
    <xf numFmtId="0" fontId="39" fillId="0" borderId="2" xfId="4" applyFont="1" applyBorder="1" applyAlignment="1" applyProtection="1">
      <alignment horizontal="center" vertical="center"/>
    </xf>
    <xf numFmtId="0" fontId="39" fillId="0" borderId="2" xfId="0" applyFont="1" applyFill="1" applyBorder="1" applyAlignment="1" applyProtection="1">
      <alignment vertical="center" wrapText="1"/>
    </xf>
    <xf numFmtId="2" fontId="39" fillId="7" borderId="2" xfId="0" applyNumberFormat="1" applyFont="1" applyFill="1" applyBorder="1" applyAlignment="1" applyProtection="1">
      <alignment horizontal="center" vertical="center"/>
    </xf>
    <xf numFmtId="0" fontId="39" fillId="0" borderId="2" xfId="0" applyFont="1" applyBorder="1" applyAlignment="1" applyProtection="1">
      <alignment horizontal="center" vertical="center"/>
    </xf>
    <xf numFmtId="0" fontId="36" fillId="0" borderId="0" xfId="4" applyFont="1" applyFill="1" applyAlignment="1" applyProtection="1">
      <alignment vertical="center"/>
    </xf>
    <xf numFmtId="0" fontId="36" fillId="0" borderId="2" xfId="4" applyFont="1" applyFill="1" applyBorder="1" applyAlignment="1" applyProtection="1">
      <alignment vertical="center"/>
    </xf>
    <xf numFmtId="0" fontId="36" fillId="0" borderId="2" xfId="4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1" fillId="14" borderId="0" xfId="4" applyFont="1" applyFill="1" applyAlignment="1" applyProtection="1">
      <alignment vertical="center"/>
    </xf>
    <xf numFmtId="0" fontId="1" fillId="10" borderId="0" xfId="4" applyFont="1" applyFill="1" applyAlignment="1" applyProtection="1">
      <alignment vertical="center"/>
    </xf>
    <xf numFmtId="0" fontId="36" fillId="0" borderId="2" xfId="4" applyFont="1" applyBorder="1" applyAlignment="1" applyProtection="1">
      <alignment vertical="center" wrapText="1"/>
    </xf>
    <xf numFmtId="2" fontId="3" fillId="17" borderId="2" xfId="4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39" fillId="0" borderId="2" xfId="0" applyFont="1" applyFill="1" applyBorder="1" applyAlignment="1" applyProtection="1">
      <alignment vertical="center"/>
    </xf>
    <xf numFmtId="1" fontId="36" fillId="17" borderId="2" xfId="4" applyNumberFormat="1" applyFont="1" applyFill="1" applyBorder="1" applyAlignment="1" applyProtection="1">
      <alignment horizontal="center" vertical="center"/>
    </xf>
    <xf numFmtId="1" fontId="3" fillId="17" borderId="2" xfId="0" applyNumberFormat="1" applyFont="1" applyFill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1" fontId="3" fillId="10" borderId="2" xfId="0" applyNumberFormat="1" applyFont="1" applyFill="1" applyBorder="1" applyAlignment="1" applyProtection="1">
      <alignment horizontal="center" vertical="center"/>
    </xf>
    <xf numFmtId="0" fontId="36" fillId="10" borderId="2" xfId="4" applyNumberFormat="1" applyFont="1" applyFill="1" applyBorder="1" applyAlignment="1" applyProtection="1">
      <alignment horizontal="center" vertical="center"/>
    </xf>
    <xf numFmtId="0" fontId="36" fillId="10" borderId="2" xfId="4" applyFont="1" applyFill="1" applyBorder="1" applyAlignment="1" applyProtection="1">
      <alignment vertical="center" wrapText="1"/>
    </xf>
    <xf numFmtId="1" fontId="36" fillId="10" borderId="2" xfId="4" applyNumberFormat="1" applyFont="1" applyFill="1" applyBorder="1" applyAlignment="1" applyProtection="1">
      <alignment horizontal="center" vertical="center"/>
    </xf>
    <xf numFmtId="2" fontId="3" fillId="10" borderId="2" xfId="0" applyNumberFormat="1" applyFont="1" applyFill="1" applyBorder="1" applyAlignment="1" applyProtection="1">
      <alignment horizontal="center" vertical="center"/>
    </xf>
    <xf numFmtId="2" fontId="36" fillId="10" borderId="2" xfId="4" applyNumberFormat="1" applyFont="1" applyFill="1" applyBorder="1" applyAlignment="1" applyProtection="1">
      <alignment horizontal="center" vertical="center"/>
    </xf>
    <xf numFmtId="2" fontId="3" fillId="10" borderId="2" xfId="4" applyNumberFormat="1" applyFont="1" applyFill="1" applyBorder="1" applyAlignment="1" applyProtection="1">
      <alignment horizontal="center" vertical="center"/>
    </xf>
    <xf numFmtId="0" fontId="39" fillId="10" borderId="2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1" fontId="3" fillId="10" borderId="9" xfId="0" applyNumberFormat="1" applyFont="1" applyFill="1" applyBorder="1" applyAlignment="1" applyProtection="1">
      <alignment horizontal="center" vertical="center"/>
    </xf>
    <xf numFmtId="0" fontId="3" fillId="10" borderId="9" xfId="0" applyFont="1" applyFill="1" applyBorder="1" applyAlignment="1" applyProtection="1">
      <alignment horizontal="center" vertical="center"/>
    </xf>
    <xf numFmtId="0" fontId="1" fillId="10" borderId="0" xfId="4" applyFill="1" applyAlignment="1" applyProtection="1">
      <alignment horizontal="right" vertical="center"/>
    </xf>
    <xf numFmtId="192" fontId="39" fillId="10" borderId="0" xfId="4" applyNumberFormat="1" applyFont="1" applyFill="1" applyBorder="1" applyAlignment="1" applyProtection="1">
      <alignment horizontal="center" vertical="center"/>
    </xf>
    <xf numFmtId="0" fontId="35" fillId="10" borderId="0" xfId="4" applyFont="1" applyFill="1" applyAlignment="1" applyProtection="1">
      <alignment horizontal="right" vertical="center"/>
    </xf>
    <xf numFmtId="1" fontId="39" fillId="10" borderId="0" xfId="4" applyNumberFormat="1" applyFont="1" applyFill="1" applyBorder="1" applyAlignment="1" applyProtection="1">
      <alignment horizontal="center" vertical="center"/>
    </xf>
    <xf numFmtId="1" fontId="36" fillId="0" borderId="2" xfId="4" applyNumberFormat="1" applyFont="1" applyFill="1" applyBorder="1" applyAlignment="1" applyProtection="1">
      <alignment horizontal="center" vertical="center"/>
    </xf>
    <xf numFmtId="1" fontId="36" fillId="10" borderId="0" xfId="4" applyNumberFormat="1" applyFont="1" applyFill="1" applyBorder="1" applyAlignment="1" applyProtection="1">
      <alignment horizontal="center" vertical="center"/>
    </xf>
    <xf numFmtId="0" fontId="36" fillId="0" borderId="0" xfId="4" applyFont="1" applyFill="1" applyBorder="1" applyAlignment="1" applyProtection="1">
      <alignment vertical="center"/>
    </xf>
    <xf numFmtId="0" fontId="36" fillId="10" borderId="0" xfId="4" applyFont="1" applyFill="1" applyBorder="1" applyAlignment="1" applyProtection="1">
      <alignment vertical="center" wrapText="1"/>
    </xf>
    <xf numFmtId="0" fontId="5" fillId="10" borderId="2" xfId="2" applyFont="1" applyFill="1" applyBorder="1" applyAlignment="1" applyProtection="1">
      <alignment horizontal="center" vertical="center"/>
    </xf>
    <xf numFmtId="0" fontId="5" fillId="10" borderId="2" xfId="2" applyFont="1" applyFill="1" applyBorder="1" applyAlignment="1" applyProtection="1">
      <alignment horizontal="center" vertical="center"/>
    </xf>
    <xf numFmtId="168" fontId="5" fillId="10" borderId="0" xfId="2" applyNumberFormat="1" applyFont="1" applyFill="1" applyAlignment="1" applyProtection="1">
      <alignment horizontal="center" vertical="center"/>
      <protection locked="0"/>
    </xf>
    <xf numFmtId="191" fontId="5" fillId="4" borderId="0" xfId="2" applyNumberFormat="1" applyFont="1" applyFill="1" applyAlignment="1" applyProtection="1">
      <alignment horizontal="center" vertical="center"/>
      <protection locked="0"/>
    </xf>
    <xf numFmtId="0" fontId="4" fillId="14" borderId="2" xfId="0" applyFont="1" applyFill="1" applyBorder="1" applyAlignment="1">
      <alignment horizontal="center" vertical="center"/>
    </xf>
    <xf numFmtId="0" fontId="19" fillId="11" borderId="0" xfId="0" applyFont="1" applyFill="1" applyAlignment="1">
      <alignment horizontal="left" vertical="center"/>
    </xf>
    <xf numFmtId="0" fontId="29" fillId="11" borderId="9" xfId="2" applyFont="1" applyFill="1" applyBorder="1" applyAlignment="1" applyProtection="1">
      <alignment horizontal="center" vertical="center"/>
    </xf>
    <xf numFmtId="0" fontId="29" fillId="11" borderId="10" xfId="2" applyFont="1" applyFill="1" applyBorder="1" applyAlignment="1" applyProtection="1">
      <alignment horizontal="center" vertical="center"/>
    </xf>
    <xf numFmtId="0" fontId="29" fillId="11" borderId="11" xfId="2" applyFont="1" applyFill="1" applyBorder="1" applyAlignment="1" applyProtection="1">
      <alignment horizontal="center" vertical="center"/>
    </xf>
    <xf numFmtId="0" fontId="28" fillId="11" borderId="2" xfId="0" applyFont="1" applyFill="1" applyBorder="1" applyAlignment="1">
      <alignment horizontal="left" vertical="center"/>
    </xf>
    <xf numFmtId="0" fontId="28" fillId="11" borderId="2" xfId="0" applyFont="1" applyFill="1" applyBorder="1" applyAlignment="1">
      <alignment horizontal="left" vertical="center" wrapText="1"/>
    </xf>
    <xf numFmtId="0" fontId="5" fillId="10" borderId="9" xfId="2" applyFont="1" applyFill="1" applyBorder="1" applyAlignment="1" applyProtection="1">
      <alignment horizontal="center" vertical="center" wrapText="1"/>
    </xf>
    <xf numFmtId="0" fontId="5" fillId="10" borderId="10" xfId="2" applyFont="1" applyFill="1" applyBorder="1" applyAlignment="1" applyProtection="1">
      <alignment horizontal="center" vertical="center"/>
    </xf>
    <xf numFmtId="0" fontId="5" fillId="10" borderId="11" xfId="2" applyFont="1" applyFill="1" applyBorder="1" applyAlignment="1" applyProtection="1">
      <alignment horizontal="center" vertical="center"/>
    </xf>
    <xf numFmtId="0" fontId="5" fillId="10" borderId="2" xfId="2" applyFont="1" applyFill="1" applyBorder="1" applyAlignment="1" applyProtection="1">
      <alignment horizontal="center" vertical="center" wrapText="1"/>
    </xf>
    <xf numFmtId="0" fontId="5" fillId="10" borderId="2" xfId="2" applyFont="1" applyFill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10" borderId="11" xfId="2" applyFont="1" applyFill="1" applyBorder="1" applyAlignment="1" applyProtection="1">
      <alignment horizontal="center" vertical="center" wrapText="1"/>
    </xf>
    <xf numFmtId="0" fontId="5" fillId="10" borderId="9" xfId="2" applyFont="1" applyFill="1" applyBorder="1" applyAlignment="1" applyProtection="1">
      <alignment horizontal="center" vertical="center"/>
    </xf>
    <xf numFmtId="0" fontId="5" fillId="10" borderId="10" xfId="2" applyFont="1" applyFill="1" applyBorder="1" applyAlignment="1" applyProtection="1">
      <alignment horizontal="center" vertical="center" wrapText="1"/>
    </xf>
    <xf numFmtId="0" fontId="11" fillId="6" borderId="0" xfId="2" applyFont="1" applyFill="1" applyAlignment="1" applyProtection="1">
      <alignment horizontal="center" vertical="center" wrapText="1"/>
    </xf>
    <xf numFmtId="0" fontId="11" fillId="6" borderId="0" xfId="2" applyFont="1" applyFill="1" applyAlignment="1" applyProtection="1">
      <alignment horizontal="center" vertical="center"/>
    </xf>
    <xf numFmtId="0" fontId="11" fillId="4" borderId="2" xfId="2" applyFont="1" applyFill="1" applyBorder="1" applyAlignment="1" applyProtection="1">
      <alignment horizontal="center" vertical="center" wrapText="1"/>
    </xf>
    <xf numFmtId="0" fontId="11" fillId="8" borderId="2" xfId="2" applyFont="1" applyFill="1" applyBorder="1" applyAlignment="1" applyProtection="1">
      <alignment horizontal="center" vertical="center" wrapText="1"/>
    </xf>
    <xf numFmtId="0" fontId="9" fillId="0" borderId="2" xfId="2" applyFont="1" applyBorder="1" applyAlignment="1" applyProtection="1">
      <alignment horizontal="center" vertical="center"/>
    </xf>
    <xf numFmtId="0" fontId="11" fillId="7" borderId="0" xfId="2" applyFont="1" applyFill="1" applyAlignment="1" applyProtection="1">
      <alignment horizontal="center" vertical="center"/>
    </xf>
    <xf numFmtId="0" fontId="11" fillId="9" borderId="0" xfId="2" applyFont="1" applyFill="1" applyAlignment="1" applyProtection="1">
      <alignment horizontal="center" vertical="center" wrapText="1"/>
    </xf>
    <xf numFmtId="0" fontId="11" fillId="9" borderId="0" xfId="2" applyFont="1" applyFill="1" applyAlignment="1" applyProtection="1">
      <alignment horizontal="center" vertical="center"/>
    </xf>
    <xf numFmtId="0" fontId="11" fillId="13" borderId="0" xfId="2" applyFont="1" applyFill="1" applyAlignment="1" applyProtection="1">
      <alignment horizontal="center" vertical="center" wrapText="1"/>
    </xf>
    <xf numFmtId="0" fontId="11" fillId="13" borderId="0" xfId="2" applyFont="1" applyFill="1" applyAlignment="1" applyProtection="1">
      <alignment horizontal="center" vertical="center"/>
    </xf>
    <xf numFmtId="0" fontId="11" fillId="14" borderId="0" xfId="2" applyFont="1" applyFill="1" applyAlignment="1" applyProtection="1">
      <alignment horizontal="center" vertical="center"/>
    </xf>
    <xf numFmtId="0" fontId="11" fillId="8" borderId="6" xfId="2" applyFont="1" applyFill="1" applyBorder="1" applyAlignment="1" applyProtection="1">
      <alignment horizontal="center" vertical="center" wrapText="1"/>
    </xf>
    <xf numFmtId="0" fontId="11" fillId="8" borderId="7" xfId="2" applyFont="1" applyFill="1" applyBorder="1" applyAlignment="1" applyProtection="1">
      <alignment horizontal="center" vertical="center" wrapText="1"/>
    </xf>
    <xf numFmtId="0" fontId="11" fillId="8" borderId="8" xfId="2" applyFont="1" applyFill="1" applyBorder="1" applyAlignment="1" applyProtection="1">
      <alignment horizontal="center" vertical="center" wrapText="1"/>
    </xf>
    <xf numFmtId="0" fontId="36" fillId="16" borderId="0" xfId="4" applyFont="1" applyFill="1" applyAlignment="1" applyProtection="1">
      <alignment horizontal="center" vertical="center"/>
    </xf>
    <xf numFmtId="0" fontId="36" fillId="17" borderId="0" xfId="4" applyFont="1" applyFill="1" applyAlignment="1" applyProtection="1">
      <alignment horizontal="center" vertical="center"/>
    </xf>
    <xf numFmtId="0" fontId="36" fillId="7" borderId="0" xfId="4" applyFont="1" applyFill="1" applyAlignment="1" applyProtection="1">
      <alignment horizontal="center" vertical="center"/>
    </xf>
    <xf numFmtId="0" fontId="39" fillId="10" borderId="0" xfId="4" applyFont="1" applyFill="1" applyBorder="1" applyAlignment="1" applyProtection="1">
      <alignment horizontal="center" vertical="center"/>
    </xf>
    <xf numFmtId="0" fontId="38" fillId="10" borderId="0" xfId="4" applyFont="1" applyFill="1" applyAlignment="1" applyProtection="1">
      <alignment horizontal="center" vertical="center"/>
    </xf>
    <xf numFmtId="0" fontId="39" fillId="14" borderId="2" xfId="4" applyFont="1" applyFill="1" applyBorder="1" applyAlignment="1" applyProtection="1">
      <alignment horizontal="center" vertical="center"/>
    </xf>
    <xf numFmtId="0" fontId="39" fillId="14" borderId="2" xfId="0" applyFont="1" applyFill="1" applyBorder="1" applyAlignment="1" applyProtection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Percent" xfId="1" builtinId="5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33CC33"/>
      <color rgb="FF56EE32"/>
      <color rgb="FF969696"/>
      <color rgb="FFFF9900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Vpre Power Distribution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4B-44F0-ADD2-8A78614868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4B-44F0-ADD2-8A786148688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4B-44F0-ADD2-8A78614868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4B-44F0-ADD2-8A786148688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4B-44F0-ADD2-8A786148688C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(VR5500_PDTCALC!$B$30:$B$33,VR5500_PDTCALC!$E$32)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(VR5500_PDTCALC!$C$30:$C$33,VR5500_PDTCALC!$F$32)</c:f>
              <c:numCache>
                <c:formatCode>0.000\ "W"</c:formatCode>
                <c:ptCount val="5"/>
                <c:pt idx="0">
                  <c:v>1.969390786875224E-2</c:v>
                </c:pt>
                <c:pt idx="1">
                  <c:v>5.2345153064899057E-2</c:v>
                </c:pt>
                <c:pt idx="2">
                  <c:v>4.6967384801891186E-2</c:v>
                </c:pt>
                <c:pt idx="3">
                  <c:v>2.2433637027813877E-3</c:v>
                </c:pt>
                <c:pt idx="4">
                  <c:v>0.10477360791125048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4B-44F0-ADD2-8A7861486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Boost Power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Boost Power Distribution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4-4CCC-A420-D6B5AA94F0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34-4CCC-A420-D6B5AA94F0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34-4CCC-A420-D6B5AA94F0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34-4CCC-A420-D6B5AA94F0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34-4CCC-A420-D6B5AA94F0C7}"/>
              </c:ext>
            </c:extLst>
          </c:dPt>
          <c:dLbls>
            <c:dLbl>
              <c:idx val="0"/>
              <c:layout>
                <c:manualLayout>
                  <c:x val="9.0277777777777776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4-4CCC-A420-D6B5AA94F0C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(VR5500_PDTCALC!$K$30:$K$32,VR5500_PDTCALC!$N$32)</c:f>
              <c:strCache>
                <c:ptCount val="4"/>
                <c:pt idx="0">
                  <c:v>P_LS_cond</c:v>
                </c:pt>
                <c:pt idx="1">
                  <c:v>P_LS_sw</c:v>
                </c:pt>
                <c:pt idx="2">
                  <c:v>P_diode</c:v>
                </c:pt>
                <c:pt idx="3">
                  <c:v>P_L</c:v>
                </c:pt>
              </c:strCache>
            </c:strRef>
          </c:cat>
          <c:val>
            <c:numRef>
              <c:f>(VR5500_PDTCALC!$L$30:$L$32,VR5500_PDTCALC!$O$32)</c:f>
              <c:numCache>
                <c:formatCode>0.000\ "W"</c:formatCode>
                <c:ptCount val="4"/>
                <c:pt idx="0">
                  <c:v>8.095128144332808E-5</c:v>
                </c:pt>
                <c:pt idx="1">
                  <c:v>1.4206089386893963E-2</c:v>
                </c:pt>
                <c:pt idx="2">
                  <c:v>6.9999999999999993E-3</c:v>
                </c:pt>
                <c:pt idx="3">
                  <c:v>6.7832346362417477E-5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834-4CCC-A420-D6B5AA94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Buck1 Power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Buck1 Power Distribution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1-4D1C-A6CE-69D2E0CFA5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1-4D1C-A6CE-69D2E0CFA5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A1-4D1C-A6CE-69D2E0CFA5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A1-4D1C-A6CE-69D2E0CFA5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A1-4D1C-A6CE-69D2E0CFA50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(VR5500_PDTCALC!$B$55:$B$58,VR5500_PDTCALC!$E$57)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(VR5500_PDTCALC!$C$55:$C$58,VR5500_PDTCALC!$F$57)</c:f>
              <c:numCache>
                <c:formatCode>0.000\ "W"</c:formatCode>
                <c:ptCount val="5"/>
                <c:pt idx="0">
                  <c:v>1.0690607734806632E-2</c:v>
                </c:pt>
                <c:pt idx="1">
                  <c:v>2.8304999999999997E-2</c:v>
                </c:pt>
                <c:pt idx="2">
                  <c:v>1.3664825046040514E-2</c:v>
                </c:pt>
                <c:pt idx="3">
                  <c:v>1.2487499999999999E-2</c:v>
                </c:pt>
                <c:pt idx="4">
                  <c:v>7.8940593534325004E-3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A1-4D1C-A6CE-69D2E0CFA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Buck2 Power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Buck2 Power Distribution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80-4E80-AC03-6762094B48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80-4E80-AC03-6762094B48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0-4E80-AC03-6762094B48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80-4E80-AC03-6762094B48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80-4E80-AC03-6762094B485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(VR5500_PDTCALC!$B$30:$B$33,VR5500_PDTCALC!$E$32,VR5500_PDTCALC!$K$55:$K$58,VR5500_PDTCALC!$N$57)</c:f>
              <c:strCache>
                <c:ptCount val="10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  <c:pt idx="5">
                  <c:v>P_HS_cond</c:v>
                </c:pt>
                <c:pt idx="6">
                  <c:v>P_HS_sw</c:v>
                </c:pt>
                <c:pt idx="7">
                  <c:v>P_LS_cond</c:v>
                </c:pt>
                <c:pt idx="8">
                  <c:v>P_LS_sw</c:v>
                </c:pt>
                <c:pt idx="9">
                  <c:v>P_L</c:v>
                </c:pt>
              </c:strCache>
            </c:strRef>
          </c:cat>
          <c:val>
            <c:numRef>
              <c:f>(VR5500_PDTCALC!$L$55:$L$58,VR5500_PDTCALC!$O$57)</c:f>
              <c:numCache>
                <c:formatCode>0.000\ "W"</c:formatCode>
                <c:ptCount val="5"/>
                <c:pt idx="0">
                  <c:v>1.0690607734806632E-2</c:v>
                </c:pt>
                <c:pt idx="1">
                  <c:v>2.8304999999999997E-2</c:v>
                </c:pt>
                <c:pt idx="2">
                  <c:v>1.3664825046040514E-2</c:v>
                </c:pt>
                <c:pt idx="3">
                  <c:v>1.2487499999999999E-2</c:v>
                </c:pt>
                <c:pt idx="4">
                  <c:v>7.8940593534325004E-3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80-4E80-AC03-6762094B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Buck3 Power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Buck3 Power Distribution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D-4D0B-8186-BD499B9879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8D-4D0B-8186-BD499B9879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8D-4D0B-8186-BD499B9879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8D-4D0B-8186-BD499B9879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8D-4D0B-8186-BD499B98797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(VR5500_PDTCALC!$T$55:$T$58,VR5500_PDTCALC!$W$57)</c:f>
              <c:strCache>
                <c:ptCount val="5"/>
                <c:pt idx="0">
                  <c:v>P_HS_cond</c:v>
                </c:pt>
                <c:pt idx="1">
                  <c:v>P_HS_sw</c:v>
                </c:pt>
                <c:pt idx="2">
                  <c:v>P_LS_cond</c:v>
                </c:pt>
                <c:pt idx="3">
                  <c:v>P_LS_sw</c:v>
                </c:pt>
                <c:pt idx="4">
                  <c:v>P_L</c:v>
                </c:pt>
              </c:strCache>
            </c:strRef>
          </c:cat>
          <c:val>
            <c:numRef>
              <c:f>(VR5500_PDTCALC!$U$55:$U$58,VR5500_PDTCALC!$X$57)</c:f>
              <c:numCache>
                <c:formatCode>0.000\ "W"</c:formatCode>
                <c:ptCount val="5"/>
                <c:pt idx="0">
                  <c:v>2.7679558011049724E-2</c:v>
                </c:pt>
                <c:pt idx="1">
                  <c:v>2.8304999999999997E-2</c:v>
                </c:pt>
                <c:pt idx="2">
                  <c:v>3.5972989564149781E-3</c:v>
                </c:pt>
                <c:pt idx="3">
                  <c:v>2.3864999999999997E-2</c:v>
                </c:pt>
                <c:pt idx="4">
                  <c:v>7.6830712156862758E-3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08D-4D0B-8186-BD499B987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FS85 Power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v>FS85 Power Distribution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E0-48A6-A501-44E6EE425E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E0-48A6-A501-44E6EE425E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E0-48A6-A501-44E6EE425E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E0-48A6-A501-44E6EE425E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E0-48A6-A501-44E6EE425E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E0-48A6-A501-44E6EE425E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E0-48A6-A501-44E6EE425E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E0-48A6-A501-44E6EE425E74}"/>
              </c:ext>
            </c:extLst>
          </c:dPt>
          <c:dLbls>
            <c:dLbl>
              <c:idx val="1"/>
              <c:layout>
                <c:manualLayout>
                  <c:x val="6.250000000000006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0-48A6-A501-44E6EE425E7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VR5500_PDTCALC!$Z$11:$Z$18</c:f>
              <c:strCache>
                <c:ptCount val="8"/>
                <c:pt idx="0">
                  <c:v>Vpre</c:v>
                </c:pt>
                <c:pt idx="1">
                  <c:v>Boost</c:v>
                </c:pt>
                <c:pt idx="2">
                  <c:v>Buck1</c:v>
                </c:pt>
                <c:pt idx="3">
                  <c:v>Buck2</c:v>
                </c:pt>
                <c:pt idx="4">
                  <c:v>Buck3</c:v>
                </c:pt>
                <c:pt idx="5">
                  <c:v>LDO1</c:v>
                </c:pt>
                <c:pt idx="6">
                  <c:v>LDO2</c:v>
                </c:pt>
                <c:pt idx="7">
                  <c:v>Int. IC</c:v>
                </c:pt>
              </c:strCache>
            </c:strRef>
          </c:cat>
          <c:val>
            <c:numRef>
              <c:f>VR5500_PDTCALC!$AA$11:$AA$18</c:f>
              <c:numCache>
                <c:formatCode>0.000\ "W"</c:formatCode>
                <c:ptCount val="8"/>
                <c:pt idx="0">
                  <c:v>2.3715151515151515E-2</c:v>
                </c:pt>
                <c:pt idx="1">
                  <c:v>1.4287040668337291E-2</c:v>
                </c:pt>
                <c:pt idx="2">
                  <c:v>6.5147932780847143E-2</c:v>
                </c:pt>
                <c:pt idx="3">
                  <c:v>6.5147932780847143E-2</c:v>
                </c:pt>
                <c:pt idx="4">
                  <c:v>8.3446856967464692E-2</c:v>
                </c:pt>
                <c:pt idx="5">
                  <c:v>3.9999999999999994E-2</c:v>
                </c:pt>
                <c:pt idx="6">
                  <c:v>4.880000000000001E-2</c:v>
                </c:pt>
                <c:pt idx="7">
                  <c:v>6.4930000000000002E-2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5E0-48A6-A501-44E6EE425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232847</xdr:colOff>
      <xdr:row>0</xdr:row>
      <xdr:rowOff>158750</xdr:rowOff>
    </xdr:from>
    <xdr:to>
      <xdr:col>0</xdr:col>
      <xdr:colOff>2530332</xdr:colOff>
      <xdr:row>5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47" y="158750"/>
          <a:ext cx="229748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112185</xdr:colOff>
      <xdr:row>1</xdr:row>
      <xdr:rowOff>13757</xdr:rowOff>
    </xdr:from>
    <xdr:to>
      <xdr:col>28</xdr:col>
      <xdr:colOff>308428</xdr:colOff>
      <xdr:row>3</xdr:row>
      <xdr:rowOff>89957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685" y="172507"/>
          <a:ext cx="1148743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</xdr:rowOff>
    </xdr:from>
    <xdr:to>
      <xdr:col>19</xdr:col>
      <xdr:colOff>581025</xdr:colOff>
      <xdr:row>116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0A2DFEE-7B7C-4DF6-AF9C-03AB3F9AF566}"/>
            </a:ext>
          </a:extLst>
        </xdr:cNvPr>
        <xdr:cNvGrpSpPr/>
      </xdr:nvGrpSpPr>
      <xdr:grpSpPr>
        <a:xfrm>
          <a:off x="19050" y="9241491"/>
          <a:ext cx="11084299" cy="8048625"/>
          <a:chOff x="28575" y="7877175"/>
          <a:chExt cx="11058525" cy="733425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AE880763-A5FE-400B-B5A1-FE9E8CEEE6F2}"/>
              </a:ext>
            </a:extLst>
          </xdr:cNvPr>
          <xdr:cNvGraphicFramePr/>
        </xdr:nvGraphicFramePr>
        <xdr:xfrm>
          <a:off x="3729038" y="7879556"/>
          <a:ext cx="3657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34438554-A0B7-4571-83C3-B6C729947BCF}"/>
              </a:ext>
            </a:extLst>
          </xdr:cNvPr>
          <xdr:cNvGraphicFramePr>
            <a:graphicFrameLocks/>
          </xdr:cNvGraphicFramePr>
        </xdr:nvGraphicFramePr>
        <xdr:xfrm>
          <a:off x="28575" y="11553825"/>
          <a:ext cx="3657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EB26250D-8EEA-425E-AD06-235F0A669434}"/>
              </a:ext>
            </a:extLst>
          </xdr:cNvPr>
          <xdr:cNvGraphicFramePr>
            <a:graphicFrameLocks/>
          </xdr:cNvGraphicFramePr>
        </xdr:nvGraphicFramePr>
        <xdr:xfrm>
          <a:off x="7419975" y="7879556"/>
          <a:ext cx="3657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979FEF1F-2C83-4911-9C2C-1E5125373650}"/>
              </a:ext>
            </a:extLst>
          </xdr:cNvPr>
          <xdr:cNvGraphicFramePr>
            <a:graphicFrameLocks/>
          </xdr:cNvGraphicFramePr>
        </xdr:nvGraphicFramePr>
        <xdr:xfrm>
          <a:off x="3724275" y="11553825"/>
          <a:ext cx="3657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1A801A4A-0792-4F74-B10B-E3E7CA884EE3}"/>
              </a:ext>
            </a:extLst>
          </xdr:cNvPr>
          <xdr:cNvGraphicFramePr>
            <a:graphicFrameLocks/>
          </xdr:cNvGraphicFramePr>
        </xdr:nvGraphicFramePr>
        <xdr:xfrm>
          <a:off x="7419975" y="11553825"/>
          <a:ext cx="3657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38CB0899-438E-4F2F-BB84-5C64E1AACAE8}"/>
              </a:ext>
            </a:extLst>
          </xdr:cNvPr>
          <xdr:cNvGraphicFramePr>
            <a:graphicFrameLocks/>
          </xdr:cNvGraphicFramePr>
        </xdr:nvGraphicFramePr>
        <xdr:xfrm>
          <a:off x="38100" y="7879556"/>
          <a:ext cx="3657600" cy="3657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7FADEC89-0236-42DF-902F-F659E3F6041D}"/>
              </a:ext>
            </a:extLst>
          </xdr:cNvPr>
          <xdr:cNvSpPr/>
        </xdr:nvSpPr>
        <xdr:spPr>
          <a:xfrm>
            <a:off x="38099" y="7877175"/>
            <a:ext cx="11049001" cy="3667125"/>
          </a:xfrm>
          <a:prstGeom prst="rect">
            <a:avLst/>
          </a:prstGeom>
          <a:noFill/>
          <a:ln w="25400">
            <a:solidFill>
              <a:srgbClr val="96969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9B7F422E-EA8F-48A3-A1E1-7C3D43AD10DF}"/>
              </a:ext>
            </a:extLst>
          </xdr:cNvPr>
          <xdr:cNvSpPr/>
        </xdr:nvSpPr>
        <xdr:spPr>
          <a:xfrm>
            <a:off x="38099" y="11544300"/>
            <a:ext cx="11049001" cy="3667125"/>
          </a:xfrm>
          <a:prstGeom prst="rect">
            <a:avLst/>
          </a:prstGeom>
          <a:noFill/>
          <a:ln w="25400">
            <a:solidFill>
              <a:srgbClr val="96969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01451039-CE3E-4CB5-9B49-15A8FDA25CA3}"/>
              </a:ext>
            </a:extLst>
          </xdr:cNvPr>
          <xdr:cNvSpPr/>
        </xdr:nvSpPr>
        <xdr:spPr>
          <a:xfrm>
            <a:off x="3714750" y="7877175"/>
            <a:ext cx="3686175" cy="3667125"/>
          </a:xfrm>
          <a:prstGeom prst="rect">
            <a:avLst/>
          </a:prstGeom>
          <a:noFill/>
          <a:ln w="25400">
            <a:solidFill>
              <a:srgbClr val="96969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6F81E3E1-DA9C-4A0B-A38D-7EA3F6CC9E7A}"/>
              </a:ext>
            </a:extLst>
          </xdr:cNvPr>
          <xdr:cNvSpPr/>
        </xdr:nvSpPr>
        <xdr:spPr>
          <a:xfrm>
            <a:off x="3714750" y="11544300"/>
            <a:ext cx="3686175" cy="3667125"/>
          </a:xfrm>
          <a:prstGeom prst="rect">
            <a:avLst/>
          </a:prstGeom>
          <a:noFill/>
          <a:ln w="25400">
            <a:solidFill>
              <a:srgbClr val="96969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263468</xdr:colOff>
      <xdr:row>33</xdr:row>
      <xdr:rowOff>93881</xdr:rowOff>
    </xdr:from>
    <xdr:to>
      <xdr:col>24</xdr:col>
      <xdr:colOff>343593</xdr:colOff>
      <xdr:row>46</xdr:row>
      <xdr:rowOff>123854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56C55B2-ECE0-4739-A95D-B8A9B801014E}"/>
            </a:ext>
          </a:extLst>
        </xdr:cNvPr>
        <xdr:cNvGrpSpPr/>
      </xdr:nvGrpSpPr>
      <xdr:grpSpPr>
        <a:xfrm>
          <a:off x="12522703" y="6783793"/>
          <a:ext cx="6131302" cy="2909885"/>
          <a:chOff x="16049855" y="6233584"/>
          <a:chExt cx="6209255" cy="2944623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F0004E0-C6F0-4030-A5F7-3E13FA4EE3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049855" y="6233584"/>
            <a:ext cx="6209255" cy="2944623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8BD97B6E-E494-4DBD-8A46-B29BC889D175}"/>
              </a:ext>
            </a:extLst>
          </xdr:cNvPr>
          <xdr:cNvSpPr txBox="1"/>
        </xdr:nvSpPr>
        <xdr:spPr>
          <a:xfrm>
            <a:off x="17890435" y="7727675"/>
            <a:ext cx="1159565" cy="273327"/>
          </a:xfrm>
          <a:prstGeom prst="rect">
            <a:avLst/>
          </a:prstGeom>
          <a:solidFill>
            <a:schemeClr val="bg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0">
                <a:solidFill>
                  <a:srgbClr val="00B050"/>
                </a:solidFill>
              </a:rPr>
              <a:t>gmEA x Rcomp</a:t>
            </a:r>
          </a:p>
        </xdr:txBody>
      </xdr:sp>
    </xdr:grpSp>
    <xdr:clientData/>
  </xdr:twoCellAnchor>
  <xdr:twoCellAnchor>
    <xdr:from>
      <xdr:col>14</xdr:col>
      <xdr:colOff>142875</xdr:colOff>
      <xdr:row>6</xdr:row>
      <xdr:rowOff>38100</xdr:rowOff>
    </xdr:from>
    <xdr:to>
      <xdr:col>24</xdr:col>
      <xdr:colOff>464185</xdr:colOff>
      <xdr:row>29</xdr:row>
      <xdr:rowOff>126365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59C70FA8-46D5-402B-B247-650F43B39B1A}"/>
            </a:ext>
          </a:extLst>
        </xdr:cNvPr>
        <xdr:cNvGrpSpPr/>
      </xdr:nvGrpSpPr>
      <xdr:grpSpPr>
        <a:xfrm>
          <a:off x="12402110" y="1181100"/>
          <a:ext cx="6372487" cy="4738706"/>
          <a:chOff x="12372975" y="1181100"/>
          <a:chExt cx="6417310" cy="4741908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4868EF9-8873-440F-9E35-824DE14F140C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372975" y="1181100"/>
            <a:ext cx="6417310" cy="4741908"/>
          </a:xfrm>
          <a:prstGeom prst="rect">
            <a:avLst/>
          </a:prstGeom>
        </xdr:spPr>
      </xdr:pic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C2C873B7-7D52-432D-93CF-65FD4296FCF6}"/>
              </a:ext>
            </a:extLst>
          </xdr:cNvPr>
          <xdr:cNvSpPr txBox="1"/>
        </xdr:nvSpPr>
        <xdr:spPr>
          <a:xfrm>
            <a:off x="15974785" y="5007430"/>
            <a:ext cx="310243" cy="12518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fr-FR" sz="800">
                <a:solidFill>
                  <a:srgbClr val="00B050"/>
                </a:solidFill>
              </a:rPr>
              <a:t>Chf</a:t>
            </a:r>
            <a:endParaRPr lang="fr-FR" sz="1100">
              <a:solidFill>
                <a:srgbClr val="00B050"/>
              </a:solidFill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E888A4AB-3CC7-40FD-BC1E-FD5F05B0A055}"/>
              </a:ext>
            </a:extLst>
          </xdr:cNvPr>
          <xdr:cNvSpPr txBox="1"/>
        </xdr:nvSpPr>
        <xdr:spPr>
          <a:xfrm>
            <a:off x="16802100" y="4659086"/>
            <a:ext cx="348343" cy="12518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fr-FR" sz="800">
                <a:solidFill>
                  <a:srgbClr val="00B050"/>
                </a:solidFill>
              </a:rPr>
              <a:t>Rcomp</a:t>
            </a:r>
            <a:endParaRPr lang="fr-FR" sz="1100">
              <a:solidFill>
                <a:srgbClr val="00B050"/>
              </a:solidFill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2EE295A3-1C41-4CC5-806C-264D38769111}"/>
              </a:ext>
            </a:extLst>
          </xdr:cNvPr>
          <xdr:cNvSpPr txBox="1"/>
        </xdr:nvSpPr>
        <xdr:spPr>
          <a:xfrm>
            <a:off x="16861973" y="5159829"/>
            <a:ext cx="348343" cy="12518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fr-FR" sz="800">
                <a:solidFill>
                  <a:srgbClr val="00B050"/>
                </a:solidFill>
              </a:rPr>
              <a:t>Ccomp</a:t>
            </a:r>
            <a:endParaRPr lang="fr-FR" sz="1100">
              <a:solidFill>
                <a:srgbClr val="00B05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tabSelected="1" topLeftCell="A6" zoomScale="85" zoomScaleNormal="85" workbookViewId="0">
      <selection activeCell="A13" sqref="A13"/>
    </sheetView>
  </sheetViews>
  <sheetFormatPr defaultColWidth="9.140625" defaultRowHeight="14.25" x14ac:dyDescent="0.2"/>
  <cols>
    <col min="1" max="1" width="132.28515625" style="13" bestFit="1" customWidth="1"/>
    <col min="2" max="2" width="13.7109375" style="13" customWidth="1"/>
    <col min="3" max="9" width="9.140625" style="13"/>
    <col min="10" max="10" width="37.42578125" style="13" customWidth="1"/>
    <col min="11" max="16384" width="9.140625" style="13"/>
  </cols>
  <sheetData>
    <row r="1" spans="1:1" ht="15" x14ac:dyDescent="0.25">
      <c r="A1" s="14"/>
    </row>
    <row r="2" spans="1:1" ht="15" x14ac:dyDescent="0.25">
      <c r="A2" s="14"/>
    </row>
    <row r="3" spans="1:1" ht="15" x14ac:dyDescent="0.25">
      <c r="A3" s="14"/>
    </row>
    <row r="4" spans="1:1" ht="15" x14ac:dyDescent="0.25">
      <c r="A4" s="14"/>
    </row>
    <row r="5" spans="1:1" ht="15" x14ac:dyDescent="0.25">
      <c r="A5" s="14"/>
    </row>
    <row r="6" spans="1:1" ht="15" x14ac:dyDescent="0.25">
      <c r="A6" s="14"/>
    </row>
    <row r="7" spans="1:1" ht="15" x14ac:dyDescent="0.25">
      <c r="A7" s="14"/>
    </row>
    <row r="8" spans="1:1" ht="15" x14ac:dyDescent="0.25">
      <c r="A8" s="16" t="s">
        <v>37</v>
      </c>
    </row>
    <row r="9" spans="1:1" ht="15" x14ac:dyDescent="0.25">
      <c r="A9" s="14" t="s">
        <v>338</v>
      </c>
    </row>
    <row r="10" spans="1:1" ht="15" x14ac:dyDescent="0.25">
      <c r="A10" s="14"/>
    </row>
    <row r="11" spans="1:1" ht="15" x14ac:dyDescent="0.25">
      <c r="A11" s="16" t="s">
        <v>38</v>
      </c>
    </row>
    <row r="12" spans="1:1" ht="15" x14ac:dyDescent="0.25">
      <c r="A12" s="15" t="s">
        <v>335</v>
      </c>
    </row>
    <row r="13" spans="1:1" ht="15" x14ac:dyDescent="0.25">
      <c r="A13" s="14"/>
    </row>
    <row r="14" spans="1:1" ht="15" x14ac:dyDescent="0.25">
      <c r="A14" s="16" t="s">
        <v>35</v>
      </c>
    </row>
    <row r="15" spans="1:1" ht="15" x14ac:dyDescent="0.25">
      <c r="A15" s="14" t="s">
        <v>339</v>
      </c>
    </row>
    <row r="16" spans="1:1" ht="15" x14ac:dyDescent="0.25">
      <c r="A16" s="14"/>
    </row>
    <row r="17" spans="1:1" ht="15" x14ac:dyDescent="0.25">
      <c r="A17" s="16" t="s">
        <v>34</v>
      </c>
    </row>
    <row r="18" spans="1:1" ht="15" x14ac:dyDescent="0.25">
      <c r="A18" s="14" t="s">
        <v>340</v>
      </c>
    </row>
    <row r="19" spans="1:1" ht="15" x14ac:dyDescent="0.25">
      <c r="A19" s="14"/>
    </row>
    <row r="20" spans="1:1" ht="15" x14ac:dyDescent="0.25">
      <c r="A20" s="16" t="s">
        <v>36</v>
      </c>
    </row>
    <row r="21" spans="1:1" ht="15" x14ac:dyDescent="0.25">
      <c r="A21" s="14" t="s">
        <v>214</v>
      </c>
    </row>
    <row r="22" spans="1:1" ht="15" x14ac:dyDescent="0.25">
      <c r="A22" s="14"/>
    </row>
    <row r="23" spans="1:1" ht="15" x14ac:dyDescent="0.25">
      <c r="A23" s="14"/>
    </row>
    <row r="24" spans="1:1" ht="15" x14ac:dyDescent="0.25">
      <c r="A24" s="14"/>
    </row>
    <row r="25" spans="1:1" ht="15" x14ac:dyDescent="0.25">
      <c r="A25" s="14"/>
    </row>
    <row r="26" spans="1:1" ht="15" x14ac:dyDescent="0.25">
      <c r="A26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"/>
  <sheetViews>
    <sheetView zoomScale="85" zoomScaleNormal="85" workbookViewId="0">
      <selection activeCell="G9" sqref="G9"/>
    </sheetView>
  </sheetViews>
  <sheetFormatPr defaultColWidth="9.140625" defaultRowHeight="12.75" x14ac:dyDescent="0.2"/>
  <cols>
    <col min="1" max="1" width="4.7109375" style="10" customWidth="1"/>
    <col min="2" max="3" width="20.7109375" style="7" customWidth="1"/>
    <col min="4" max="4" width="93.5703125" style="7" bestFit="1" customWidth="1"/>
    <col min="5" max="16384" width="9.140625" style="10"/>
  </cols>
  <sheetData>
    <row r="1" spans="2:4" ht="15" customHeight="1" x14ac:dyDescent="0.2"/>
    <row r="2" spans="2:4" s="8" customFormat="1" ht="20.100000000000001" customHeight="1" x14ac:dyDescent="0.2">
      <c r="B2" s="282" t="s">
        <v>31</v>
      </c>
      <c r="C2" s="282" t="s">
        <v>32</v>
      </c>
      <c r="D2" s="282" t="s">
        <v>33</v>
      </c>
    </row>
    <row r="3" spans="2:4" ht="30" customHeight="1" x14ac:dyDescent="0.2">
      <c r="B3" s="9" t="s">
        <v>336</v>
      </c>
      <c r="C3" s="150">
        <v>43514</v>
      </c>
      <c r="D3" s="12" t="s">
        <v>337</v>
      </c>
    </row>
    <row r="4" spans="2:4" ht="30" customHeight="1" x14ac:dyDescent="0.2">
      <c r="B4" s="11"/>
      <c r="C4" s="150"/>
      <c r="D4" s="12"/>
    </row>
    <row r="5" spans="2:4" ht="30" customHeight="1" x14ac:dyDescent="0.2">
      <c r="B5" s="11"/>
      <c r="C5" s="150"/>
      <c r="D5" s="12"/>
    </row>
  </sheetData>
  <pageMargins left="0.7" right="0.7" top="0.75" bottom="0.75" header="0.3" footer="0.3"/>
  <pageSetup paperSize="9" orientation="portrait" verticalDpi="0" r:id="rId1"/>
  <ignoredErrors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6"/>
  <sheetViews>
    <sheetView zoomScale="85" zoomScaleNormal="85" workbookViewId="0">
      <selection activeCell="M12" sqref="M12"/>
    </sheetView>
  </sheetViews>
  <sheetFormatPr defaultColWidth="9.140625" defaultRowHeight="12.75" x14ac:dyDescent="0.2"/>
  <cols>
    <col min="1" max="29" width="4.7109375" style="10" customWidth="1"/>
    <col min="30" max="30" width="2.7109375" style="10" customWidth="1"/>
    <col min="31" max="31" width="4.7109375" style="10" customWidth="1"/>
    <col min="32" max="32" width="17.85546875" style="10" bestFit="1" customWidth="1"/>
    <col min="33" max="33" width="0.85546875" style="10" customWidth="1"/>
    <col min="34" max="34" width="59.28515625" style="10" bestFit="1" customWidth="1"/>
    <col min="35" max="35" width="22.7109375" style="10" customWidth="1"/>
    <col min="36" max="36" width="4.7109375" style="10" customWidth="1"/>
    <col min="37" max="37" width="2.7109375" style="10" customWidth="1"/>
    <col min="38" max="16384" width="9.140625" style="10"/>
  </cols>
  <sheetData>
    <row r="1" spans="1:37" ht="15" customHeight="1" x14ac:dyDescent="0.2">
      <c r="A1" s="155"/>
      <c r="B1" s="156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7"/>
      <c r="AG1" s="157"/>
      <c r="AH1" s="157"/>
      <c r="AI1" s="157"/>
      <c r="AJ1" s="155"/>
      <c r="AK1" s="155"/>
    </row>
    <row r="2" spans="1:37" ht="15" customHeight="1" x14ac:dyDescent="0.2">
      <c r="A2" s="158"/>
      <c r="B2" s="283" t="s">
        <v>341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158"/>
      <c r="AA2" s="158"/>
      <c r="AB2" s="158"/>
      <c r="AC2" s="158"/>
      <c r="AD2" s="155"/>
      <c r="AE2" s="158"/>
      <c r="AF2" s="283" t="s">
        <v>342</v>
      </c>
      <c r="AG2" s="283"/>
      <c r="AH2" s="283"/>
      <c r="AI2" s="283"/>
      <c r="AJ2" s="167"/>
      <c r="AK2" s="155"/>
    </row>
    <row r="3" spans="1:37" ht="15" customHeight="1" x14ac:dyDescent="0.2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7"/>
      <c r="AE3" s="158"/>
      <c r="AF3" s="158"/>
      <c r="AG3" s="158"/>
      <c r="AH3" s="158"/>
      <c r="AI3" s="158"/>
      <c r="AJ3" s="158"/>
      <c r="AK3" s="157"/>
    </row>
    <row r="4" spans="1:37" ht="15" customHeight="1" x14ac:dyDescent="0.2">
      <c r="A4" s="159"/>
      <c r="B4" s="159" t="s">
        <v>27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60"/>
      <c r="AE4" s="159"/>
      <c r="AF4" s="176" t="s">
        <v>145</v>
      </c>
      <c r="AG4" s="151"/>
      <c r="AH4" s="151"/>
      <c r="AI4" s="152"/>
      <c r="AJ4" s="159"/>
      <c r="AK4" s="160"/>
    </row>
    <row r="5" spans="1:37" ht="15" customHeight="1" x14ac:dyDescent="0.2">
      <c r="A5" s="161"/>
      <c r="B5" s="162"/>
      <c r="C5" s="162" t="s">
        <v>86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3"/>
      <c r="AE5" s="161"/>
      <c r="AF5" s="169" t="s">
        <v>136</v>
      </c>
      <c r="AG5" s="284"/>
      <c r="AH5" s="170" t="s">
        <v>153</v>
      </c>
      <c r="AI5" s="171"/>
      <c r="AJ5" s="161"/>
      <c r="AK5" s="163"/>
    </row>
    <row r="6" spans="1:37" ht="15" customHeight="1" x14ac:dyDescent="0.2">
      <c r="A6" s="161"/>
      <c r="B6" s="162"/>
      <c r="C6" s="162" t="s">
        <v>28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3"/>
      <c r="AE6" s="161"/>
      <c r="AF6" s="169" t="s">
        <v>59</v>
      </c>
      <c r="AG6" s="285"/>
      <c r="AH6" s="170" t="s">
        <v>135</v>
      </c>
      <c r="AI6" s="287" t="s">
        <v>146</v>
      </c>
      <c r="AJ6" s="161"/>
      <c r="AK6" s="163"/>
    </row>
    <row r="7" spans="1:37" ht="15" customHeight="1" x14ac:dyDescent="0.2">
      <c r="A7" s="161"/>
      <c r="B7" s="162"/>
      <c r="C7" s="162" t="s">
        <v>343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3"/>
      <c r="AE7" s="161"/>
      <c r="AF7" s="169" t="s">
        <v>60</v>
      </c>
      <c r="AG7" s="285"/>
      <c r="AH7" s="170" t="s">
        <v>200</v>
      </c>
      <c r="AI7" s="287"/>
      <c r="AJ7" s="161"/>
      <c r="AK7" s="163"/>
    </row>
    <row r="8" spans="1:37" ht="15" customHeight="1" x14ac:dyDescent="0.2">
      <c r="A8" s="161"/>
      <c r="B8" s="162"/>
      <c r="C8" s="162" t="s">
        <v>109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3"/>
      <c r="AE8" s="161"/>
      <c r="AF8" s="169" t="s">
        <v>61</v>
      </c>
      <c r="AG8" s="285"/>
      <c r="AH8" s="170" t="s">
        <v>137</v>
      </c>
      <c r="AI8" s="287" t="s">
        <v>147</v>
      </c>
      <c r="AJ8" s="161"/>
      <c r="AK8" s="163"/>
    </row>
    <row r="9" spans="1:37" ht="15" customHeight="1" x14ac:dyDescent="0.2">
      <c r="A9" s="158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57"/>
      <c r="AE9" s="158"/>
      <c r="AF9" s="169" t="s">
        <v>62</v>
      </c>
      <c r="AG9" s="285"/>
      <c r="AH9" s="170" t="s">
        <v>202</v>
      </c>
      <c r="AI9" s="287"/>
      <c r="AJ9" s="158"/>
      <c r="AK9" s="157"/>
    </row>
    <row r="10" spans="1:37" ht="15" customHeight="1" x14ac:dyDescent="0.2">
      <c r="A10" s="161"/>
      <c r="B10" s="165" t="s">
        <v>29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3"/>
      <c r="AE10" s="161"/>
      <c r="AF10" s="169" t="s">
        <v>5</v>
      </c>
      <c r="AG10" s="285"/>
      <c r="AH10" s="170" t="s">
        <v>143</v>
      </c>
      <c r="AI10" s="171"/>
      <c r="AJ10" s="161"/>
      <c r="AK10" s="163"/>
    </row>
    <row r="11" spans="1:37" ht="15" customHeight="1" x14ac:dyDescent="0.2">
      <c r="A11" s="161"/>
      <c r="B11" s="162"/>
      <c r="C11" s="162" t="s">
        <v>107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3"/>
      <c r="AE11" s="161"/>
      <c r="AF11" s="169" t="s">
        <v>6</v>
      </c>
      <c r="AG11" s="285"/>
      <c r="AH11" s="170" t="s">
        <v>144</v>
      </c>
      <c r="AI11" s="171"/>
      <c r="AJ11" s="161"/>
      <c r="AK11" s="163"/>
    </row>
    <row r="12" spans="1:37" ht="15" customHeight="1" x14ac:dyDescent="0.2">
      <c r="A12" s="158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57"/>
      <c r="AE12" s="158"/>
      <c r="AF12" s="169" t="s">
        <v>7</v>
      </c>
      <c r="AG12" s="285"/>
      <c r="AH12" s="170" t="s">
        <v>204</v>
      </c>
      <c r="AI12" s="171"/>
      <c r="AJ12" s="158"/>
      <c r="AK12" s="157"/>
    </row>
    <row r="13" spans="1:37" ht="15" customHeight="1" x14ac:dyDescent="0.2">
      <c r="A13" s="161"/>
      <c r="B13" s="165" t="s">
        <v>79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3"/>
      <c r="AE13" s="161"/>
      <c r="AF13" s="169" t="s">
        <v>9</v>
      </c>
      <c r="AG13" s="285"/>
      <c r="AH13" s="170" t="s">
        <v>139</v>
      </c>
      <c r="AI13" s="171"/>
      <c r="AJ13" s="161"/>
      <c r="AK13" s="163"/>
    </row>
    <row r="14" spans="1:37" ht="25.5" x14ac:dyDescent="0.2">
      <c r="A14" s="161"/>
      <c r="B14" s="165"/>
      <c r="C14" s="162" t="s">
        <v>80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3"/>
      <c r="AE14" s="161"/>
      <c r="AF14" s="169" t="s">
        <v>10</v>
      </c>
      <c r="AG14" s="285"/>
      <c r="AH14" s="170" t="s">
        <v>330</v>
      </c>
      <c r="AI14" s="172" t="s">
        <v>329</v>
      </c>
      <c r="AJ14" s="161"/>
      <c r="AK14" s="163"/>
    </row>
    <row r="15" spans="1:37" ht="15" customHeight="1" x14ac:dyDescent="0.2">
      <c r="A15" s="161"/>
      <c r="B15" s="165"/>
      <c r="C15" s="162" t="s">
        <v>348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3"/>
      <c r="AE15" s="161"/>
      <c r="AF15" s="169" t="s">
        <v>205</v>
      </c>
      <c r="AG15" s="285"/>
      <c r="AH15" s="170" t="s">
        <v>138</v>
      </c>
      <c r="AI15" s="171"/>
      <c r="AJ15" s="161"/>
      <c r="AK15" s="163"/>
    </row>
    <row r="16" spans="1:37" ht="15" customHeight="1" x14ac:dyDescent="0.2">
      <c r="A16" s="161"/>
      <c r="B16" s="165"/>
      <c r="C16" s="162" t="s">
        <v>81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3"/>
      <c r="AE16" s="161"/>
      <c r="AF16" s="169" t="s">
        <v>206</v>
      </c>
      <c r="AG16" s="285"/>
      <c r="AH16" s="170" t="s">
        <v>140</v>
      </c>
      <c r="AI16" s="171"/>
      <c r="AJ16" s="161"/>
      <c r="AK16" s="163"/>
    </row>
    <row r="17" spans="1:37" ht="15" customHeight="1" x14ac:dyDescent="0.2">
      <c r="A17" s="158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57"/>
      <c r="AE17" s="158"/>
      <c r="AF17" s="169" t="s">
        <v>3</v>
      </c>
      <c r="AG17" s="285"/>
      <c r="AH17" s="170" t="s">
        <v>141</v>
      </c>
      <c r="AI17" s="171"/>
      <c r="AJ17" s="158"/>
      <c r="AK17" s="157"/>
    </row>
    <row r="18" spans="1:37" ht="15" customHeight="1" x14ac:dyDescent="0.2">
      <c r="A18" s="158"/>
      <c r="B18" s="165" t="s">
        <v>82</v>
      </c>
      <c r="C18" s="162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57"/>
      <c r="AE18" s="158"/>
      <c r="AF18" s="169" t="s">
        <v>17</v>
      </c>
      <c r="AG18" s="286"/>
      <c r="AH18" s="170" t="s">
        <v>142</v>
      </c>
      <c r="AI18" s="171"/>
      <c r="AJ18" s="158"/>
      <c r="AK18" s="157"/>
    </row>
    <row r="19" spans="1:37" ht="15" customHeight="1" x14ac:dyDescent="0.2">
      <c r="A19" s="161"/>
      <c r="B19" s="165"/>
      <c r="C19" s="162" t="s">
        <v>344</v>
      </c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3"/>
      <c r="AE19" s="161"/>
      <c r="AF19" s="164"/>
      <c r="AG19" s="164"/>
      <c r="AH19" s="164"/>
      <c r="AI19" s="168"/>
      <c r="AJ19" s="161"/>
      <c r="AK19" s="163"/>
    </row>
    <row r="20" spans="1:37" ht="15" customHeight="1" x14ac:dyDescent="0.2">
      <c r="A20" s="161"/>
      <c r="B20" s="165"/>
      <c r="C20" s="162" t="s">
        <v>132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3"/>
      <c r="AE20" s="161"/>
      <c r="AF20" s="176" t="s">
        <v>148</v>
      </c>
      <c r="AG20" s="151"/>
      <c r="AH20" s="151"/>
      <c r="AI20" s="152"/>
      <c r="AJ20" s="161"/>
      <c r="AK20" s="163"/>
    </row>
    <row r="21" spans="1:37" ht="15" customHeight="1" x14ac:dyDescent="0.2">
      <c r="A21" s="158"/>
      <c r="B21" s="162"/>
      <c r="C21" s="162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57"/>
      <c r="AE21" s="158"/>
      <c r="AF21" s="169" t="s">
        <v>136</v>
      </c>
      <c r="AG21" s="284"/>
      <c r="AH21" s="170" t="s">
        <v>212</v>
      </c>
      <c r="AI21" s="171"/>
      <c r="AJ21" s="158"/>
      <c r="AK21" s="157"/>
    </row>
    <row r="22" spans="1:37" ht="15" customHeight="1" x14ac:dyDescent="0.2">
      <c r="A22" s="158"/>
      <c r="B22" s="165" t="s">
        <v>129</v>
      </c>
      <c r="C22" s="162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57"/>
      <c r="AE22" s="158"/>
      <c r="AF22" s="169" t="s">
        <v>59</v>
      </c>
      <c r="AG22" s="285"/>
      <c r="AH22" s="170" t="s">
        <v>135</v>
      </c>
      <c r="AI22" s="288" t="s">
        <v>149</v>
      </c>
      <c r="AJ22" s="158"/>
      <c r="AK22" s="157"/>
    </row>
    <row r="23" spans="1:37" ht="15" customHeight="1" x14ac:dyDescent="0.2">
      <c r="A23" s="158"/>
      <c r="B23" s="162"/>
      <c r="C23" s="162" t="s">
        <v>133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57"/>
      <c r="AE23" s="158"/>
      <c r="AF23" s="169" t="s">
        <v>60</v>
      </c>
      <c r="AG23" s="285"/>
      <c r="AH23" s="170" t="s">
        <v>201</v>
      </c>
      <c r="AI23" s="287"/>
      <c r="AJ23" s="158"/>
      <c r="AK23" s="157"/>
    </row>
    <row r="24" spans="1:37" ht="15" customHeight="1" x14ac:dyDescent="0.2">
      <c r="A24" s="158"/>
      <c r="B24" s="162"/>
      <c r="C24" s="162" t="s">
        <v>130</v>
      </c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57"/>
      <c r="AE24" s="158"/>
      <c r="AF24" s="169" t="s">
        <v>61</v>
      </c>
      <c r="AG24" s="285"/>
      <c r="AH24" s="170" t="s">
        <v>137</v>
      </c>
      <c r="AI24" s="288" t="s">
        <v>150</v>
      </c>
      <c r="AJ24" s="158"/>
      <c r="AK24" s="157"/>
    </row>
    <row r="25" spans="1:37" ht="15" customHeight="1" x14ac:dyDescent="0.2">
      <c r="A25" s="158"/>
      <c r="B25" s="162"/>
      <c r="C25" s="162" t="s">
        <v>131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57"/>
      <c r="AE25" s="158"/>
      <c r="AF25" s="169" t="s">
        <v>62</v>
      </c>
      <c r="AG25" s="285"/>
      <c r="AH25" s="170" t="s">
        <v>203</v>
      </c>
      <c r="AI25" s="287"/>
      <c r="AJ25" s="158"/>
      <c r="AK25" s="157"/>
    </row>
    <row r="26" spans="1:37" ht="15" customHeight="1" x14ac:dyDescent="0.2">
      <c r="A26" s="158"/>
      <c r="B26" s="162"/>
      <c r="C26" s="162" t="s">
        <v>134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57"/>
      <c r="AE26" s="158"/>
      <c r="AF26" s="169" t="s">
        <v>5</v>
      </c>
      <c r="AG26" s="285"/>
      <c r="AH26" s="170" t="s">
        <v>143</v>
      </c>
      <c r="AI26" s="171"/>
      <c r="AJ26" s="158"/>
      <c r="AK26" s="157"/>
    </row>
    <row r="27" spans="1:37" ht="15" customHeight="1" x14ac:dyDescent="0.2">
      <c r="A27" s="158"/>
      <c r="B27" s="162"/>
      <c r="C27" s="162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57"/>
      <c r="AE27" s="158"/>
      <c r="AF27" s="169" t="s">
        <v>6</v>
      </c>
      <c r="AG27" s="285"/>
      <c r="AH27" s="170" t="s">
        <v>144</v>
      </c>
      <c r="AI27" s="171"/>
      <c r="AJ27" s="158"/>
      <c r="AK27" s="157"/>
    </row>
    <row r="28" spans="1:37" ht="15" customHeight="1" x14ac:dyDescent="0.2">
      <c r="A28" s="158"/>
      <c r="B28" s="165" t="s">
        <v>83</v>
      </c>
      <c r="C28" s="162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57"/>
      <c r="AE28" s="158"/>
      <c r="AF28" s="169" t="s">
        <v>7</v>
      </c>
      <c r="AG28" s="285"/>
      <c r="AH28" s="170" t="s">
        <v>204</v>
      </c>
      <c r="AI28" s="171"/>
      <c r="AJ28" s="158"/>
      <c r="AK28" s="157"/>
    </row>
    <row r="29" spans="1:37" ht="15" customHeight="1" x14ac:dyDescent="0.2">
      <c r="A29" s="161"/>
      <c r="B29" s="165"/>
      <c r="C29" s="162" t="s">
        <v>84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3"/>
      <c r="AE29" s="161"/>
      <c r="AF29" s="169" t="s">
        <v>9</v>
      </c>
      <c r="AG29" s="285"/>
      <c r="AH29" s="170" t="s">
        <v>139</v>
      </c>
      <c r="AI29" s="171"/>
      <c r="AJ29" s="161"/>
      <c r="AK29" s="163"/>
    </row>
    <row r="30" spans="1:37" ht="15" customHeight="1" x14ac:dyDescent="0.2">
      <c r="A30" s="161"/>
      <c r="B30" s="165"/>
      <c r="C30" s="162" t="s">
        <v>88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3"/>
      <c r="AE30" s="161"/>
      <c r="AF30" s="169" t="s">
        <v>10</v>
      </c>
      <c r="AG30" s="285"/>
      <c r="AH30" s="170" t="s">
        <v>151</v>
      </c>
      <c r="AI30" s="172"/>
      <c r="AJ30" s="161"/>
      <c r="AK30" s="163"/>
    </row>
    <row r="31" spans="1:37" ht="15" customHeight="1" x14ac:dyDescent="0.2">
      <c r="A31" s="161"/>
      <c r="B31" s="165"/>
      <c r="C31" s="162" t="s">
        <v>346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3"/>
      <c r="AE31" s="161"/>
      <c r="AF31" s="169" t="s">
        <v>205</v>
      </c>
      <c r="AG31" s="285"/>
      <c r="AH31" s="170" t="s">
        <v>138</v>
      </c>
      <c r="AI31" s="171"/>
      <c r="AJ31" s="161"/>
      <c r="AK31" s="163"/>
    </row>
    <row r="32" spans="1:37" ht="15" customHeight="1" x14ac:dyDescent="0.2">
      <c r="A32" s="161"/>
      <c r="B32" s="165"/>
      <c r="C32" s="162" t="s">
        <v>108</v>
      </c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3"/>
      <c r="AE32" s="161"/>
      <c r="AF32" s="169" t="s">
        <v>206</v>
      </c>
      <c r="AG32" s="285"/>
      <c r="AH32" s="170" t="s">
        <v>140</v>
      </c>
      <c r="AI32" s="171"/>
      <c r="AJ32" s="161"/>
      <c r="AK32" s="163"/>
    </row>
    <row r="33" spans="1:37" ht="15" customHeight="1" x14ac:dyDescent="0.2">
      <c r="A33" s="158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57"/>
      <c r="AE33" s="158"/>
      <c r="AF33" s="169" t="s">
        <v>3</v>
      </c>
      <c r="AG33" s="285"/>
      <c r="AH33" s="170" t="s">
        <v>141</v>
      </c>
      <c r="AI33" s="171"/>
      <c r="AJ33" s="158"/>
      <c r="AK33" s="157"/>
    </row>
    <row r="34" spans="1:37" ht="15" customHeight="1" x14ac:dyDescent="0.2">
      <c r="A34" s="158"/>
      <c r="B34" s="165" t="s">
        <v>347</v>
      </c>
      <c r="C34" s="162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57"/>
      <c r="AE34" s="158"/>
      <c r="AF34" s="169" t="s">
        <v>17</v>
      </c>
      <c r="AG34" s="286"/>
      <c r="AH34" s="170" t="s">
        <v>142</v>
      </c>
      <c r="AI34" s="171"/>
      <c r="AJ34" s="158"/>
      <c r="AK34" s="157"/>
    </row>
    <row r="35" spans="1:37" ht="15" customHeight="1" x14ac:dyDescent="0.2">
      <c r="A35" s="158"/>
      <c r="B35" s="165"/>
      <c r="C35" s="162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57"/>
      <c r="AE35" s="158"/>
      <c r="AF35" s="164"/>
      <c r="AG35" s="164"/>
      <c r="AH35" s="164"/>
      <c r="AI35" s="164"/>
      <c r="AJ35" s="158"/>
      <c r="AK35" s="157"/>
    </row>
    <row r="36" spans="1:37" ht="15" customHeight="1" x14ac:dyDescent="0.2">
      <c r="A36" s="158"/>
      <c r="B36" s="165" t="s">
        <v>110</v>
      </c>
      <c r="C36" s="162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57"/>
      <c r="AE36" s="158"/>
      <c r="AF36" s="176" t="s">
        <v>152</v>
      </c>
      <c r="AG36" s="151"/>
      <c r="AH36" s="151"/>
      <c r="AI36" s="152"/>
      <c r="AJ36" s="158"/>
      <c r="AK36" s="157"/>
    </row>
    <row r="37" spans="1:37" ht="15" customHeight="1" x14ac:dyDescent="0.2">
      <c r="A37" s="158"/>
      <c r="B37" s="165"/>
      <c r="C37" s="162" t="s">
        <v>113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57"/>
      <c r="AE37" s="158"/>
      <c r="AF37" s="169" t="s">
        <v>136</v>
      </c>
      <c r="AG37" s="284"/>
      <c r="AH37" s="170" t="s">
        <v>213</v>
      </c>
      <c r="AI37" s="171"/>
      <c r="AJ37" s="158"/>
      <c r="AK37" s="157"/>
    </row>
    <row r="38" spans="1:37" ht="15" customHeight="1" x14ac:dyDescent="0.2">
      <c r="A38" s="158"/>
      <c r="B38" s="165"/>
      <c r="C38" s="162" t="s">
        <v>114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57"/>
      <c r="AE38" s="158"/>
      <c r="AF38" s="169" t="s">
        <v>61</v>
      </c>
      <c r="AG38" s="285"/>
      <c r="AH38" s="170" t="s">
        <v>154</v>
      </c>
      <c r="AI38" s="288" t="s">
        <v>150</v>
      </c>
      <c r="AJ38" s="158"/>
      <c r="AK38" s="157"/>
    </row>
    <row r="39" spans="1:37" ht="15" customHeight="1" x14ac:dyDescent="0.2">
      <c r="A39" s="158"/>
      <c r="B39" s="165"/>
      <c r="C39" s="162" t="s">
        <v>166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57"/>
      <c r="AE39" s="158"/>
      <c r="AF39" s="169" t="s">
        <v>62</v>
      </c>
      <c r="AG39" s="285"/>
      <c r="AH39" s="170" t="s">
        <v>211</v>
      </c>
      <c r="AI39" s="287"/>
      <c r="AJ39" s="158"/>
      <c r="AK39" s="157"/>
    </row>
    <row r="40" spans="1:37" ht="15" customHeight="1" x14ac:dyDescent="0.2">
      <c r="A40" s="158"/>
      <c r="B40" s="165"/>
      <c r="C40" s="162"/>
      <c r="D40" s="164" t="s">
        <v>167</v>
      </c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57"/>
      <c r="AE40" s="158"/>
      <c r="AF40" s="169" t="s">
        <v>15</v>
      </c>
      <c r="AG40" s="285"/>
      <c r="AH40" s="170" t="s">
        <v>208</v>
      </c>
      <c r="AI40" s="171"/>
      <c r="AJ40" s="158"/>
      <c r="AK40" s="157"/>
    </row>
    <row r="41" spans="1:37" ht="15" customHeight="1" x14ac:dyDescent="0.2">
      <c r="A41" s="158"/>
      <c r="B41" s="165"/>
      <c r="C41" s="162" t="s">
        <v>168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57"/>
      <c r="AE41" s="158"/>
      <c r="AF41" s="169" t="s">
        <v>5</v>
      </c>
      <c r="AG41" s="285"/>
      <c r="AH41" s="170" t="s">
        <v>143</v>
      </c>
      <c r="AI41" s="171"/>
      <c r="AJ41" s="158"/>
      <c r="AK41" s="157"/>
    </row>
    <row r="42" spans="1:37" ht="15" customHeight="1" x14ac:dyDescent="0.2">
      <c r="A42" s="158"/>
      <c r="B42" s="165"/>
      <c r="C42" s="162"/>
      <c r="D42" s="164" t="s">
        <v>169</v>
      </c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57"/>
      <c r="AE42" s="158"/>
      <c r="AF42" s="169" t="s">
        <v>6</v>
      </c>
      <c r="AG42" s="285"/>
      <c r="AH42" s="170" t="s">
        <v>144</v>
      </c>
      <c r="AI42" s="171"/>
      <c r="AJ42" s="158"/>
      <c r="AK42" s="157"/>
    </row>
    <row r="43" spans="1:37" ht="15" customHeight="1" x14ac:dyDescent="0.2">
      <c r="A43" s="158"/>
      <c r="B43" s="162"/>
      <c r="C43" s="162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57"/>
      <c r="AE43" s="158"/>
      <c r="AF43" s="169" t="s">
        <v>7</v>
      </c>
      <c r="AG43" s="285"/>
      <c r="AH43" s="170" t="s">
        <v>155</v>
      </c>
      <c r="AI43" s="171"/>
      <c r="AJ43" s="158"/>
      <c r="AK43" s="157"/>
    </row>
    <row r="44" spans="1:37" ht="15" customHeight="1" x14ac:dyDescent="0.2">
      <c r="A44" s="158"/>
      <c r="B44" s="166" t="s">
        <v>118</v>
      </c>
      <c r="C44" s="166"/>
      <c r="D44" s="166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57"/>
      <c r="AE44" s="158"/>
      <c r="AF44" s="169" t="s">
        <v>9</v>
      </c>
      <c r="AG44" s="285"/>
      <c r="AH44" s="170" t="s">
        <v>157</v>
      </c>
      <c r="AI44" s="171"/>
      <c r="AJ44" s="158"/>
      <c r="AK44" s="157"/>
    </row>
    <row r="45" spans="1:37" ht="15" customHeight="1" x14ac:dyDescent="0.2">
      <c r="A45" s="158"/>
      <c r="B45" s="162"/>
      <c r="C45" s="162" t="s">
        <v>115</v>
      </c>
      <c r="D45" s="162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57"/>
      <c r="AE45" s="158"/>
      <c r="AF45" s="169" t="s">
        <v>10</v>
      </c>
      <c r="AG45" s="285"/>
      <c r="AH45" s="170" t="s">
        <v>156</v>
      </c>
      <c r="AI45" s="172"/>
      <c r="AJ45" s="158"/>
      <c r="AK45" s="157"/>
    </row>
    <row r="46" spans="1:37" ht="15" customHeight="1" x14ac:dyDescent="0.2">
      <c r="A46" s="158"/>
      <c r="B46" s="162"/>
      <c r="C46" s="162" t="s">
        <v>116</v>
      </c>
      <c r="D46" s="162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57"/>
      <c r="AE46" s="158"/>
      <c r="AF46" s="169" t="s">
        <v>205</v>
      </c>
      <c r="AG46" s="285"/>
      <c r="AH46" s="170" t="s">
        <v>138</v>
      </c>
      <c r="AI46" s="171"/>
      <c r="AJ46" s="158"/>
      <c r="AK46" s="157"/>
    </row>
    <row r="47" spans="1:37" ht="15" customHeight="1" x14ac:dyDescent="0.2">
      <c r="A47" s="158"/>
      <c r="B47" s="162"/>
      <c r="C47" s="162" t="s">
        <v>117</v>
      </c>
      <c r="D47" s="162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57"/>
      <c r="AE47" s="158"/>
      <c r="AF47" s="169" t="s">
        <v>206</v>
      </c>
      <c r="AG47" s="285"/>
      <c r="AH47" s="170" t="s">
        <v>158</v>
      </c>
      <c r="AI47" s="171"/>
      <c r="AJ47" s="158"/>
      <c r="AK47" s="157"/>
    </row>
    <row r="48" spans="1:37" ht="15" customHeight="1" x14ac:dyDescent="0.2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7"/>
      <c r="AE48" s="158"/>
      <c r="AF48" s="169" t="s">
        <v>3</v>
      </c>
      <c r="AG48" s="285"/>
      <c r="AH48" s="170" t="s">
        <v>209</v>
      </c>
      <c r="AI48" s="171"/>
      <c r="AJ48" s="158"/>
      <c r="AK48" s="157"/>
    </row>
    <row r="49" spans="1:37" ht="15" customHeight="1" x14ac:dyDescent="0.2">
      <c r="A49" s="158"/>
      <c r="B49" s="165" t="s">
        <v>207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7"/>
      <c r="AE49" s="158"/>
      <c r="AF49" s="169" t="s">
        <v>17</v>
      </c>
      <c r="AG49" s="286"/>
      <c r="AH49" s="170" t="s">
        <v>159</v>
      </c>
      <c r="AI49" s="171"/>
      <c r="AJ49" s="158"/>
      <c r="AK49" s="157"/>
    </row>
    <row r="50" spans="1:37" x14ac:dyDescent="0.2">
      <c r="A50" s="158"/>
      <c r="B50" s="178" t="s">
        <v>170</v>
      </c>
      <c r="C50" s="162"/>
      <c r="D50" s="162" t="s">
        <v>171</v>
      </c>
      <c r="E50" s="162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7"/>
      <c r="AE50" s="158"/>
      <c r="AF50" s="164"/>
      <c r="AG50" s="164"/>
      <c r="AH50" s="164"/>
      <c r="AI50" s="168"/>
      <c r="AJ50" s="158"/>
      <c r="AK50" s="157"/>
    </row>
    <row r="51" spans="1:37" x14ac:dyDescent="0.2">
      <c r="A51" s="158"/>
      <c r="B51" s="178" t="s">
        <v>172</v>
      </c>
      <c r="C51" s="162"/>
      <c r="D51" s="162" t="s">
        <v>173</v>
      </c>
      <c r="E51" s="162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7"/>
      <c r="AE51" s="158"/>
      <c r="AF51" s="177" t="s">
        <v>160</v>
      </c>
      <c r="AG51" s="153"/>
      <c r="AH51" s="153"/>
      <c r="AI51" s="154"/>
      <c r="AJ51" s="158"/>
      <c r="AK51" s="157"/>
    </row>
    <row r="52" spans="1:37" x14ac:dyDescent="0.2">
      <c r="A52" s="158"/>
      <c r="B52" s="178" t="s">
        <v>174</v>
      </c>
      <c r="C52" s="162"/>
      <c r="D52" s="162" t="s">
        <v>175</v>
      </c>
      <c r="E52" s="162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7"/>
      <c r="AE52" s="158"/>
      <c r="AF52" s="173" t="s">
        <v>162</v>
      </c>
      <c r="AG52" s="164"/>
      <c r="AH52" s="174" t="s">
        <v>164</v>
      </c>
      <c r="AI52" s="175" t="s">
        <v>161</v>
      </c>
      <c r="AJ52" s="158"/>
      <c r="AK52" s="157"/>
    </row>
    <row r="53" spans="1:37" x14ac:dyDescent="0.2">
      <c r="A53" s="158"/>
      <c r="B53" s="178" t="s">
        <v>176</v>
      </c>
      <c r="C53" s="162"/>
      <c r="D53" s="162" t="s">
        <v>177</v>
      </c>
      <c r="E53" s="162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7"/>
      <c r="AE53" s="158"/>
      <c r="AF53" s="173" t="s">
        <v>163</v>
      </c>
      <c r="AG53" s="164"/>
      <c r="AH53" s="170" t="s">
        <v>165</v>
      </c>
      <c r="AI53" s="175" t="s">
        <v>161</v>
      </c>
      <c r="AJ53" s="158"/>
      <c r="AK53" s="157"/>
    </row>
    <row r="54" spans="1:37" x14ac:dyDescent="0.2">
      <c r="A54" s="158"/>
      <c r="B54" s="178" t="s">
        <v>178</v>
      </c>
      <c r="C54" s="162"/>
      <c r="D54" s="162" t="s">
        <v>199</v>
      </c>
      <c r="E54" s="162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7"/>
      <c r="AE54" s="158"/>
      <c r="AF54" s="158"/>
      <c r="AG54" s="158"/>
      <c r="AH54" s="158"/>
      <c r="AI54" s="158"/>
      <c r="AJ54" s="158"/>
      <c r="AK54" s="157"/>
    </row>
    <row r="55" spans="1:37" x14ac:dyDescent="0.2">
      <c r="A55" s="158"/>
      <c r="B55" s="178" t="s">
        <v>179</v>
      </c>
      <c r="C55" s="162"/>
      <c r="D55" s="162" t="s">
        <v>180</v>
      </c>
      <c r="E55" s="162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7"/>
      <c r="AE55" s="157"/>
      <c r="AF55" s="157"/>
      <c r="AG55" s="157"/>
      <c r="AH55" s="157"/>
      <c r="AI55" s="157"/>
      <c r="AJ55" s="157"/>
      <c r="AK55" s="157"/>
    </row>
    <row r="56" spans="1:37" x14ac:dyDescent="0.2">
      <c r="A56" s="158"/>
      <c r="B56" s="178" t="s">
        <v>181</v>
      </c>
      <c r="C56" s="162"/>
      <c r="D56" s="162" t="s">
        <v>182</v>
      </c>
      <c r="E56" s="162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7"/>
    </row>
    <row r="57" spans="1:37" x14ac:dyDescent="0.2">
      <c r="A57" s="158"/>
      <c r="B57" s="178" t="s">
        <v>193</v>
      </c>
      <c r="C57" s="162"/>
      <c r="D57" s="162" t="s">
        <v>194</v>
      </c>
      <c r="E57" s="162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7"/>
    </row>
    <row r="58" spans="1:37" x14ac:dyDescent="0.2">
      <c r="A58" s="158"/>
      <c r="B58" s="178" t="s">
        <v>183</v>
      </c>
      <c r="C58" s="162"/>
      <c r="D58" s="162" t="s">
        <v>186</v>
      </c>
      <c r="E58" s="162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7"/>
    </row>
    <row r="59" spans="1:37" x14ac:dyDescent="0.2">
      <c r="A59" s="158"/>
      <c r="B59" s="178" t="s">
        <v>184</v>
      </c>
      <c r="C59" s="162"/>
      <c r="D59" s="162" t="s">
        <v>185</v>
      </c>
      <c r="E59" s="162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7"/>
    </row>
    <row r="60" spans="1:37" x14ac:dyDescent="0.2">
      <c r="A60" s="158"/>
      <c r="B60" s="178" t="s">
        <v>187</v>
      </c>
      <c r="C60" s="162"/>
      <c r="D60" s="162" t="s">
        <v>190</v>
      </c>
      <c r="E60" s="162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7"/>
    </row>
    <row r="61" spans="1:37" x14ac:dyDescent="0.2">
      <c r="A61" s="158"/>
      <c r="B61" s="178" t="s">
        <v>188</v>
      </c>
      <c r="C61" s="162"/>
      <c r="D61" s="162" t="s">
        <v>191</v>
      </c>
      <c r="E61" s="162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7"/>
    </row>
    <row r="62" spans="1:37" x14ac:dyDescent="0.2">
      <c r="A62" s="158"/>
      <c r="B62" s="178" t="s">
        <v>189</v>
      </c>
      <c r="C62" s="162"/>
      <c r="D62" s="162" t="s">
        <v>192</v>
      </c>
      <c r="E62" s="162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  <c r="AD62" s="157"/>
    </row>
    <row r="63" spans="1:37" x14ac:dyDescent="0.2">
      <c r="A63" s="158"/>
      <c r="B63" s="178" t="s">
        <v>195</v>
      </c>
      <c r="C63" s="162"/>
      <c r="D63" s="162" t="s">
        <v>198</v>
      </c>
      <c r="E63" s="162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7"/>
    </row>
    <row r="64" spans="1:37" x14ac:dyDescent="0.2">
      <c r="A64" s="158"/>
      <c r="B64" s="178" t="s">
        <v>196</v>
      </c>
      <c r="C64" s="162"/>
      <c r="D64" s="162" t="s">
        <v>197</v>
      </c>
      <c r="E64" s="162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7"/>
    </row>
    <row r="65" spans="1:30" x14ac:dyDescent="0.2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7"/>
    </row>
    <row r="66" spans="1:30" x14ac:dyDescent="0.2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</row>
  </sheetData>
  <mergeCells count="10">
    <mergeCell ref="AG37:AG49"/>
    <mergeCell ref="AI38:AI39"/>
    <mergeCell ref="AG21:AG34"/>
    <mergeCell ref="AI22:AI23"/>
    <mergeCell ref="AI24:AI25"/>
    <mergeCell ref="B2:Y2"/>
    <mergeCell ref="AF2:AI2"/>
    <mergeCell ref="AG5:AG18"/>
    <mergeCell ref="AI6:AI7"/>
    <mergeCell ref="AI8:AI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73"/>
  <sheetViews>
    <sheetView showGridLines="0" zoomScale="85" zoomScaleNormal="85" workbookViewId="0">
      <selection activeCell="K10" sqref="K10:L10"/>
    </sheetView>
  </sheetViews>
  <sheetFormatPr defaultColWidth="9.140625" defaultRowHeight="12.75" x14ac:dyDescent="0.2"/>
  <cols>
    <col min="1" max="1" width="0.7109375" customWidth="1"/>
    <col min="2" max="3" width="12.7109375" style="202" customWidth="1"/>
    <col min="4" max="4" width="0.7109375" style="202" customWidth="1"/>
    <col min="5" max="6" width="12.7109375" style="202" customWidth="1"/>
    <col min="7" max="7" width="0.7109375" customWidth="1"/>
    <col min="8" max="9" width="12.7109375" customWidth="1"/>
    <col min="10" max="10" width="0.7109375" customWidth="1"/>
    <col min="11" max="12" width="12.7109375" customWidth="1"/>
    <col min="13" max="13" width="0.7109375" customWidth="1"/>
    <col min="14" max="15" width="12.7109375" customWidth="1"/>
    <col min="16" max="16" width="0.7109375" customWidth="1"/>
    <col min="17" max="18" width="12.7109375" customWidth="1"/>
    <col min="19" max="19" width="0.5703125" customWidth="1"/>
    <col min="20" max="21" width="12.7109375" customWidth="1"/>
    <col min="22" max="22" width="0.5703125" customWidth="1"/>
    <col min="23" max="24" width="12.7109375" customWidth="1"/>
    <col min="25" max="25" width="0.5703125" customWidth="1"/>
    <col min="26" max="27" width="12.7109375" customWidth="1"/>
    <col min="28" max="28" width="0.5703125" customWidth="1"/>
    <col min="29" max="29" width="12.7109375" customWidth="1"/>
    <col min="30" max="30" width="0.5703125" customWidth="1"/>
    <col min="31" max="31" width="12.7109375" customWidth="1"/>
  </cols>
  <sheetData>
    <row r="1" spans="1:33" s="58" customFormat="1" ht="15" customHeight="1" x14ac:dyDescent="0.2">
      <c r="A1" s="302" t="s">
        <v>345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3" t="s">
        <v>26</v>
      </c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185"/>
      <c r="AF1" s="181"/>
      <c r="AG1" s="186"/>
    </row>
    <row r="2" spans="1:33" ht="3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187"/>
      <c r="AF2" s="182"/>
      <c r="AG2" s="188"/>
    </row>
    <row r="3" spans="1:33" s="24" customFormat="1" ht="13.5" customHeight="1" x14ac:dyDescent="0.2">
      <c r="B3" s="304" t="s">
        <v>53</v>
      </c>
      <c r="C3" s="304"/>
      <c r="D3" s="59"/>
      <c r="E3" s="60" t="s">
        <v>14</v>
      </c>
      <c r="F3" s="61" t="s">
        <v>48</v>
      </c>
      <c r="G3" s="62"/>
      <c r="H3" s="63" t="s">
        <v>50</v>
      </c>
      <c r="I3" s="63" t="s">
        <v>52</v>
      </c>
      <c r="K3" s="64" t="s">
        <v>124</v>
      </c>
      <c r="L3" s="64" t="s">
        <v>125</v>
      </c>
      <c r="N3" s="65" t="s">
        <v>55</v>
      </c>
      <c r="Q3" s="66"/>
      <c r="R3" s="67" t="s">
        <v>87</v>
      </c>
      <c r="T3" s="18">
        <v>30</v>
      </c>
      <c r="U3" s="25"/>
      <c r="V3" s="25"/>
      <c r="X3" s="149"/>
      <c r="Y3" s="149"/>
      <c r="Z3" s="149"/>
      <c r="AA3" s="149"/>
      <c r="AB3" s="149"/>
      <c r="AC3" s="149"/>
      <c r="AE3" s="189"/>
      <c r="AF3" s="183"/>
      <c r="AG3" s="190"/>
    </row>
    <row r="4" spans="1:33" s="24" customFormat="1" ht="13.5" customHeight="1" x14ac:dyDescent="0.2">
      <c r="B4" s="304" t="s">
        <v>25</v>
      </c>
      <c r="C4" s="304"/>
      <c r="D4" s="59"/>
      <c r="E4" s="68">
        <v>10</v>
      </c>
      <c r="F4" s="69">
        <v>2.5</v>
      </c>
      <c r="G4" s="59"/>
      <c r="H4" s="69">
        <v>2.5</v>
      </c>
      <c r="I4" s="69">
        <v>2.5</v>
      </c>
      <c r="K4" s="70">
        <v>400</v>
      </c>
      <c r="L4" s="70">
        <v>400</v>
      </c>
      <c r="N4" s="71">
        <v>800</v>
      </c>
      <c r="Q4" s="72"/>
      <c r="R4" s="67" t="s">
        <v>89</v>
      </c>
      <c r="S4" s="25"/>
      <c r="T4" s="32">
        <v>125</v>
      </c>
      <c r="X4" s="149"/>
      <c r="Y4" s="149"/>
      <c r="Z4" s="149"/>
      <c r="AA4" s="149"/>
      <c r="AB4" s="149"/>
      <c r="AC4" s="149"/>
      <c r="AE4" s="189"/>
      <c r="AF4" s="183"/>
      <c r="AG4" s="190"/>
    </row>
    <row r="5" spans="1:33" ht="13.5" customHeight="1" x14ac:dyDescent="0.2">
      <c r="A5" s="23"/>
      <c r="B5" s="66"/>
      <c r="C5" s="66"/>
      <c r="D5" s="66"/>
      <c r="E5" s="66"/>
      <c r="F5" s="66"/>
      <c r="G5" s="66"/>
      <c r="H5" s="66"/>
      <c r="I5" s="66"/>
      <c r="J5" s="23"/>
      <c r="K5" s="66"/>
      <c r="L5" s="67"/>
      <c r="M5" s="24"/>
      <c r="N5" s="23"/>
      <c r="O5" s="23"/>
      <c r="P5" s="23"/>
      <c r="Q5" s="73"/>
      <c r="R5" s="67" t="s">
        <v>30</v>
      </c>
      <c r="S5" s="25"/>
      <c r="T5" s="74">
        <v>150</v>
      </c>
      <c r="U5" s="75"/>
      <c r="V5" s="75"/>
      <c r="W5" s="23"/>
      <c r="X5" s="149"/>
      <c r="Y5" s="149"/>
      <c r="Z5" s="149"/>
      <c r="AA5" s="149"/>
      <c r="AB5" s="149"/>
      <c r="AC5" s="149"/>
      <c r="AD5" s="23"/>
      <c r="AE5" s="187"/>
      <c r="AF5" s="182"/>
      <c r="AG5" s="188"/>
    </row>
    <row r="6" spans="1:33" s="76" customFormat="1" ht="13.5" customHeight="1" x14ac:dyDescent="0.2">
      <c r="B6" s="76" t="s">
        <v>85</v>
      </c>
      <c r="AC6" s="25"/>
      <c r="AD6" s="25"/>
      <c r="AE6" s="191"/>
      <c r="AF6" s="184"/>
      <c r="AG6" s="192"/>
    </row>
    <row r="7" spans="1:33" ht="3.75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6"/>
      <c r="AA7" s="36"/>
      <c r="AB7" s="36"/>
      <c r="AC7" s="36"/>
      <c r="AD7" s="36"/>
      <c r="AE7" s="182"/>
      <c r="AF7" s="182"/>
      <c r="AG7" s="188"/>
    </row>
    <row r="8" spans="1:33" s="58" customFormat="1" ht="40.5" customHeight="1" x14ac:dyDescent="0.2">
      <c r="A8" s="77"/>
      <c r="B8" s="305" t="s">
        <v>218</v>
      </c>
      <c r="C8" s="305"/>
      <c r="D8" s="305"/>
      <c r="E8" s="305"/>
      <c r="F8" s="305"/>
      <c r="G8" s="305"/>
      <c r="H8" s="305"/>
      <c r="I8" s="305"/>
      <c r="J8" s="39"/>
      <c r="K8" s="306" t="s">
        <v>219</v>
      </c>
      <c r="L8" s="307"/>
      <c r="M8" s="307"/>
      <c r="N8" s="307"/>
      <c r="O8" s="307"/>
      <c r="P8" s="307"/>
      <c r="Q8" s="307"/>
      <c r="R8" s="307"/>
      <c r="S8" s="39"/>
      <c r="T8" s="308" t="s">
        <v>220</v>
      </c>
      <c r="U8" s="309"/>
      <c r="V8" s="39"/>
      <c r="W8" s="308" t="s">
        <v>221</v>
      </c>
      <c r="X8" s="308"/>
      <c r="Y8" s="40"/>
      <c r="Z8" s="310" t="s">
        <v>349</v>
      </c>
      <c r="AA8" s="310"/>
      <c r="AB8" s="310"/>
      <c r="AC8" s="310"/>
      <c r="AD8" s="41"/>
      <c r="AE8" s="181"/>
      <c r="AF8" s="181"/>
      <c r="AG8" s="186"/>
    </row>
    <row r="9" spans="1:33" ht="3.7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6"/>
      <c r="K9" s="35"/>
      <c r="L9" s="35"/>
      <c r="M9" s="36"/>
      <c r="N9" s="35"/>
      <c r="O9" s="35"/>
      <c r="P9" s="36"/>
      <c r="Q9" s="35"/>
      <c r="R9" s="35"/>
      <c r="S9" s="36"/>
      <c r="T9" s="35"/>
      <c r="U9" s="35"/>
      <c r="V9" s="35"/>
      <c r="W9" s="36"/>
      <c r="X9" s="36"/>
      <c r="Y9" s="36"/>
      <c r="Z9" s="36"/>
      <c r="AA9" s="36"/>
      <c r="AB9" s="36"/>
      <c r="AC9" s="36"/>
      <c r="AD9" s="36"/>
      <c r="AE9" s="182"/>
      <c r="AF9" s="182"/>
      <c r="AG9" s="188"/>
    </row>
    <row r="10" spans="1:33" ht="13.5" customHeight="1" x14ac:dyDescent="0.2">
      <c r="A10" s="35"/>
      <c r="B10" s="295" t="s">
        <v>227</v>
      </c>
      <c r="C10" s="295"/>
      <c r="D10" s="35"/>
      <c r="E10" s="295" t="s">
        <v>40</v>
      </c>
      <c r="F10" s="295"/>
      <c r="G10" s="35"/>
      <c r="H10" s="295" t="s">
        <v>2</v>
      </c>
      <c r="I10" s="295"/>
      <c r="J10" s="39"/>
      <c r="K10" s="295" t="s">
        <v>58</v>
      </c>
      <c r="L10" s="295"/>
      <c r="M10" s="39"/>
      <c r="N10" s="295" t="s">
        <v>57</v>
      </c>
      <c r="O10" s="295"/>
      <c r="P10" s="39"/>
      <c r="Q10" s="295" t="s">
        <v>2</v>
      </c>
      <c r="R10" s="295"/>
      <c r="S10" s="39"/>
      <c r="T10" s="23"/>
      <c r="U10" s="23"/>
      <c r="V10" s="35"/>
      <c r="W10" s="23"/>
      <c r="X10" s="23"/>
      <c r="Y10" s="35"/>
      <c r="Z10" s="27"/>
      <c r="AA10" s="78" t="s">
        <v>72</v>
      </c>
      <c r="AB10" s="78"/>
      <c r="AC10" s="79" t="s">
        <v>73</v>
      </c>
      <c r="AD10" s="36"/>
      <c r="AE10" s="187"/>
      <c r="AF10" s="182"/>
      <c r="AG10" s="188"/>
    </row>
    <row r="11" spans="1:33" ht="13.5" customHeight="1" x14ac:dyDescent="0.2">
      <c r="A11" s="35"/>
      <c r="B11" s="80" t="s">
        <v>0</v>
      </c>
      <c r="C11" s="4">
        <v>47</v>
      </c>
      <c r="D11" s="35"/>
      <c r="E11" s="23" t="s">
        <v>42</v>
      </c>
      <c r="F11" s="93">
        <v>5</v>
      </c>
      <c r="G11" s="35"/>
      <c r="H11" s="81" t="s">
        <v>20</v>
      </c>
      <c r="I11" s="1">
        <v>14</v>
      </c>
      <c r="J11" s="39"/>
      <c r="K11" s="80" t="s">
        <v>0</v>
      </c>
      <c r="L11" s="82">
        <f>Cout_Vpre</f>
        <v>60</v>
      </c>
      <c r="M11" s="39"/>
      <c r="N11" s="23" t="s">
        <v>46</v>
      </c>
      <c r="O11" s="93">
        <v>5</v>
      </c>
      <c r="P11" s="39"/>
      <c r="Q11" s="80" t="s">
        <v>14</v>
      </c>
      <c r="R11" s="84">
        <f>Vpre</f>
        <v>4.0999999999999996</v>
      </c>
      <c r="S11" s="39"/>
      <c r="T11" s="85" t="s">
        <v>126</v>
      </c>
      <c r="U11" s="19" t="s">
        <v>14</v>
      </c>
      <c r="V11" s="35"/>
      <c r="W11" s="23"/>
      <c r="X11" s="23"/>
      <c r="Y11" s="35"/>
      <c r="Z11" s="86" t="s">
        <v>14</v>
      </c>
      <c r="AA11" s="87">
        <f>Pdis_IC_Vpre</f>
        <v>2.3715151515151515E-2</v>
      </c>
      <c r="AB11" s="87"/>
      <c r="AC11" s="88">
        <f>Eff_Vpre</f>
        <v>0.95516610781984224</v>
      </c>
      <c r="AD11" s="36"/>
      <c r="AE11" s="187"/>
      <c r="AF11" s="182"/>
      <c r="AG11" s="188"/>
    </row>
    <row r="12" spans="1:33" ht="13.5" customHeight="1" x14ac:dyDescent="0.2">
      <c r="A12" s="35"/>
      <c r="B12" s="80" t="s">
        <v>21</v>
      </c>
      <c r="C12" s="5">
        <v>100</v>
      </c>
      <c r="D12" s="35"/>
      <c r="E12" s="23" t="s">
        <v>41</v>
      </c>
      <c r="F12" s="5">
        <v>19.5</v>
      </c>
      <c r="G12" s="35"/>
      <c r="H12" s="80"/>
      <c r="I12" s="84"/>
      <c r="J12" s="39"/>
      <c r="K12" s="80" t="s">
        <v>21</v>
      </c>
      <c r="L12" s="89">
        <f>ESR_Cout_Vpre</f>
        <v>10</v>
      </c>
      <c r="M12" s="39"/>
      <c r="N12" s="23" t="s">
        <v>44</v>
      </c>
      <c r="O12" s="83">
        <v>280</v>
      </c>
      <c r="P12" s="39"/>
      <c r="Q12" s="80"/>
      <c r="R12" s="84"/>
      <c r="S12" s="39"/>
      <c r="T12" s="81" t="s">
        <v>124</v>
      </c>
      <c r="U12" s="1">
        <v>3.3</v>
      </c>
      <c r="V12" s="35"/>
      <c r="W12" s="81" t="s">
        <v>125</v>
      </c>
      <c r="X12" s="1">
        <v>3.3</v>
      </c>
      <c r="Y12" s="35"/>
      <c r="Z12" s="86" t="s">
        <v>55</v>
      </c>
      <c r="AA12" s="87">
        <f>Pdis_IC_Boost</f>
        <v>1.4287040668337291E-2</v>
      </c>
      <c r="AB12" s="87"/>
      <c r="AC12" s="88">
        <f>IF(Pdis_IC_Boost=0,"-",Eff_Boost)</f>
        <v>0.84035721923130657</v>
      </c>
      <c r="AD12" s="36"/>
      <c r="AE12" s="187"/>
      <c r="AF12" s="182"/>
      <c r="AG12" s="188"/>
    </row>
    <row r="13" spans="1:33" ht="13.5" customHeight="1" x14ac:dyDescent="0.2">
      <c r="A13" s="35"/>
      <c r="B13" s="80" t="s">
        <v>1</v>
      </c>
      <c r="C13" s="4">
        <v>60</v>
      </c>
      <c r="D13" s="35"/>
      <c r="E13" s="23" t="s">
        <v>230</v>
      </c>
      <c r="F13" s="20">
        <v>8</v>
      </c>
      <c r="G13" s="35"/>
      <c r="H13" s="81" t="s">
        <v>14</v>
      </c>
      <c r="I13" s="1">
        <v>4.0999999999999996</v>
      </c>
      <c r="J13" s="39"/>
      <c r="K13" s="80" t="s">
        <v>1</v>
      </c>
      <c r="L13" s="4">
        <v>20</v>
      </c>
      <c r="M13" s="39"/>
      <c r="N13" s="23" t="s">
        <v>45</v>
      </c>
      <c r="O13" s="90">
        <v>1</v>
      </c>
      <c r="P13" s="39"/>
      <c r="Q13" s="81" t="s">
        <v>55</v>
      </c>
      <c r="R13" s="1">
        <v>5.74</v>
      </c>
      <c r="S13" s="39"/>
      <c r="T13" s="81" t="s">
        <v>127</v>
      </c>
      <c r="U13" s="3">
        <v>50</v>
      </c>
      <c r="V13" s="35"/>
      <c r="W13" s="85" t="s">
        <v>128</v>
      </c>
      <c r="X13" s="3">
        <v>20</v>
      </c>
      <c r="Y13" s="35"/>
      <c r="Z13" s="86" t="s">
        <v>48</v>
      </c>
      <c r="AA13" s="87">
        <f>Pdis_IC_Buck1</f>
        <v>6.5147932780847143E-2</v>
      </c>
      <c r="AB13" s="87"/>
      <c r="AC13" s="88">
        <f>Eff_Buck1</f>
        <v>0.89449994737471783</v>
      </c>
      <c r="AD13" s="36"/>
      <c r="AE13" s="187"/>
      <c r="AF13" s="182"/>
      <c r="AG13" s="188"/>
    </row>
    <row r="14" spans="1:33" ht="13.5" customHeight="1" x14ac:dyDescent="0.2">
      <c r="A14" s="35"/>
      <c r="B14" s="80" t="s">
        <v>22</v>
      </c>
      <c r="C14" s="5">
        <v>10</v>
      </c>
      <c r="D14" s="35"/>
      <c r="E14" s="23" t="s">
        <v>233</v>
      </c>
      <c r="F14" s="20">
        <v>3</v>
      </c>
      <c r="G14" s="35"/>
      <c r="H14" s="80"/>
      <c r="I14" s="94"/>
      <c r="J14" s="39"/>
      <c r="K14" s="80" t="s">
        <v>22</v>
      </c>
      <c r="L14" s="5">
        <v>10</v>
      </c>
      <c r="M14" s="39"/>
      <c r="N14" s="23" t="s">
        <v>243</v>
      </c>
      <c r="O14" s="281">
        <v>500</v>
      </c>
      <c r="P14" s="39"/>
      <c r="Q14" s="179" t="s">
        <v>210</v>
      </c>
      <c r="R14" s="180">
        <f>Iboost_tot/(1-Duty_Cycle_Boost)</f>
        <v>29.725914920237727</v>
      </c>
      <c r="S14" s="39"/>
      <c r="T14" s="23"/>
      <c r="U14" s="95" t="str">
        <f>"( ≤ "&amp;LDO1_Imax&amp;" mA )"</f>
        <v>( ≤ 400 mA )</v>
      </c>
      <c r="V14" s="35"/>
      <c r="W14" s="23"/>
      <c r="X14" s="95" t="str">
        <f>"( ≤ "&amp;LDO2_Imax&amp;" mA )"</f>
        <v>( ≤ 400 mA )</v>
      </c>
      <c r="Y14" s="35"/>
      <c r="Z14" s="86" t="s">
        <v>50</v>
      </c>
      <c r="AA14" s="87">
        <f>Pdis_IC_Buck2</f>
        <v>6.5147932780847143E-2</v>
      </c>
      <c r="AB14" s="87"/>
      <c r="AC14" s="88">
        <f>IF(Pdis_IC_Buck2=0,"-",Eff_Buck2)</f>
        <v>0.89449994737471783</v>
      </c>
      <c r="AD14" s="36"/>
      <c r="AE14" s="187"/>
      <c r="AF14" s="182"/>
      <c r="AG14" s="188"/>
    </row>
    <row r="15" spans="1:33" ht="13.5" customHeight="1" x14ac:dyDescent="0.2">
      <c r="A15" s="35"/>
      <c r="B15" s="96" t="s">
        <v>23</v>
      </c>
      <c r="C15" s="21">
        <v>6.8</v>
      </c>
      <c r="D15" s="35"/>
      <c r="E15" s="23" t="s">
        <v>234</v>
      </c>
      <c r="F15" s="20">
        <v>2</v>
      </c>
      <c r="G15" s="35"/>
      <c r="H15" s="81" t="s">
        <v>19</v>
      </c>
      <c r="I15" s="97">
        <f>Pout_Buck1/Vpre/Eff_Buck1+Pout_Buck2/Vpre/Eff_Buck2+Pout_Buck3/Vpre/Eff_Buck3+Pout_Boost/Vpre/Eff_Boost+IF(LDO1_in="Vpre",I_LDO1/1000,0)+IF(LDO3_in="Vpre",I_LDO3/1000,0)+IF(LDO4_in="Vpre",I_LDO4/1000,0)</f>
        <v>0.84892612866597927</v>
      </c>
      <c r="J15" s="39"/>
      <c r="K15" s="96" t="s">
        <v>23</v>
      </c>
      <c r="L15" s="21">
        <v>4.7</v>
      </c>
      <c r="M15" s="39"/>
      <c r="N15" s="23" t="s">
        <v>63</v>
      </c>
      <c r="O15" s="91">
        <f>Vpre/LS_SlewRate*1000</f>
        <v>8.1999999999999993</v>
      </c>
      <c r="P15" s="39"/>
      <c r="S15" s="39"/>
      <c r="T15" s="81"/>
      <c r="U15" s="98"/>
      <c r="V15" s="35"/>
      <c r="W15" s="23"/>
      <c r="X15" s="87"/>
      <c r="Y15" s="35"/>
      <c r="Z15" s="86" t="s">
        <v>52</v>
      </c>
      <c r="AA15" s="87">
        <f>Pdis_IC_Buck3</f>
        <v>8.3446856967464692E-2</v>
      </c>
      <c r="AB15" s="87"/>
      <c r="AC15" s="88">
        <f>IF(Pdis_IC_Buck3=0,"-",Eff_Buck3)</f>
        <v>0.9474265857128048</v>
      </c>
      <c r="AD15" s="36"/>
      <c r="AE15" s="187"/>
      <c r="AF15" s="182"/>
      <c r="AG15" s="188"/>
    </row>
    <row r="16" spans="1:33" ht="13.5" customHeight="1" x14ac:dyDescent="0.2">
      <c r="A16" s="35"/>
      <c r="B16" s="80" t="s">
        <v>24</v>
      </c>
      <c r="C16" s="5">
        <v>30</v>
      </c>
      <c r="D16" s="35"/>
      <c r="E16" s="23" t="s">
        <v>239</v>
      </c>
      <c r="F16" s="3">
        <v>900</v>
      </c>
      <c r="G16" s="35"/>
      <c r="H16" s="81" t="s">
        <v>65</v>
      </c>
      <c r="I16" s="2">
        <v>1</v>
      </c>
      <c r="J16" s="39"/>
      <c r="K16" s="80" t="s">
        <v>24</v>
      </c>
      <c r="L16" s="5">
        <v>30</v>
      </c>
      <c r="M16" s="39"/>
      <c r="N16" s="23"/>
      <c r="O16" s="83"/>
      <c r="P16" s="39"/>
      <c r="Q16" s="81" t="s">
        <v>56</v>
      </c>
      <c r="R16" s="98">
        <f>I_LDO2+IF(LDO1_in="Boost",I_LDO1,0)</f>
        <v>20</v>
      </c>
      <c r="S16" s="39"/>
      <c r="T16" s="23"/>
      <c r="U16" s="97"/>
      <c r="V16" s="35"/>
      <c r="W16" s="23"/>
      <c r="X16" s="100"/>
      <c r="Y16" s="35"/>
      <c r="Z16" s="86" t="s">
        <v>124</v>
      </c>
      <c r="AA16" s="87">
        <f>Pdis_IC_LDO1</f>
        <v>3.9999999999999994E-2</v>
      </c>
      <c r="AB16" s="87"/>
      <c r="AC16" s="88">
        <f>Eff_LDO1</f>
        <v>0.80487804878048774</v>
      </c>
      <c r="AD16" s="36"/>
      <c r="AE16" s="187"/>
      <c r="AF16" s="182"/>
      <c r="AG16" s="188"/>
    </row>
    <row r="17" spans="1:32" ht="13.5" customHeight="1" x14ac:dyDescent="0.2">
      <c r="A17" s="35"/>
      <c r="B17" s="80" t="s">
        <v>229</v>
      </c>
      <c r="C17" s="5">
        <v>10</v>
      </c>
      <c r="D17" s="35"/>
      <c r="E17" s="197" t="s">
        <v>64</v>
      </c>
      <c r="F17" s="198">
        <f>1000*(HS_QGD_Vpre+HS_QGS_Vpre/2)/HS_Igate_Vpre</f>
        <v>4.4444444444444446</v>
      </c>
      <c r="G17" s="35"/>
      <c r="H17" s="81" t="s">
        <v>241</v>
      </c>
      <c r="I17" s="97">
        <f>Ipre+Ipre_add</f>
        <v>1.8489261286659793</v>
      </c>
      <c r="J17" s="39"/>
      <c r="K17" s="80" t="s">
        <v>54</v>
      </c>
      <c r="L17" s="17">
        <v>0.35</v>
      </c>
      <c r="M17" s="39"/>
      <c r="N17" s="23"/>
      <c r="O17" s="102"/>
      <c r="P17" s="39"/>
      <c r="Q17" s="81" t="s">
        <v>240</v>
      </c>
      <c r="R17" s="3">
        <v>0</v>
      </c>
      <c r="S17" s="39"/>
      <c r="T17" s="23"/>
      <c r="U17" s="23"/>
      <c r="V17" s="35"/>
      <c r="W17" s="23"/>
      <c r="X17" s="23"/>
      <c r="Y17" s="35"/>
      <c r="Z17" s="86" t="s">
        <v>125</v>
      </c>
      <c r="AA17" s="87">
        <f>Pdis_IC_LDO2</f>
        <v>4.880000000000001E-2</v>
      </c>
      <c r="AB17" s="87"/>
      <c r="AC17" s="88">
        <f>Eff_LDO2</f>
        <v>0.57491289198606266</v>
      </c>
      <c r="AD17" s="36"/>
      <c r="AE17" s="6"/>
      <c r="AF17" s="182"/>
    </row>
    <row r="18" spans="1:32" ht="13.5" customHeight="1" x14ac:dyDescent="0.2">
      <c r="A18" s="35"/>
      <c r="B18" s="80"/>
      <c r="C18" s="92"/>
      <c r="D18" s="35"/>
      <c r="E18" s="193" t="s">
        <v>46</v>
      </c>
      <c r="F18" s="194">
        <v>5</v>
      </c>
      <c r="G18" s="35"/>
      <c r="H18" s="23"/>
      <c r="I18" s="101" t="str">
        <f>"( ≤ "&amp;Vpre_Imax&amp;" A )"</f>
        <v>( ≤ 10 A )</v>
      </c>
      <c r="J18" s="39"/>
      <c r="K18" s="80"/>
      <c r="L18" s="92"/>
      <c r="M18" s="39"/>
      <c r="N18" s="23"/>
      <c r="O18" s="91"/>
      <c r="P18" s="39"/>
      <c r="Q18" s="81" t="s">
        <v>242</v>
      </c>
      <c r="R18" s="98">
        <f>Iboost_add+Iboost</f>
        <v>20</v>
      </c>
      <c r="S18" s="39"/>
      <c r="T18" s="23"/>
      <c r="U18" s="23"/>
      <c r="V18" s="36"/>
      <c r="W18" s="23"/>
      <c r="X18" s="23"/>
      <c r="Y18" s="35"/>
      <c r="Z18" s="86" t="s">
        <v>74</v>
      </c>
      <c r="AA18" s="87">
        <f>Vsup*0.004+IF(Vpre&lt;4.2,(Boost-4.8)*0.000001*((QHS_Vpre+QLS_VPRE)*FSW_Vpre+QLS_Boost*FSW_Boost),IF(Vpre&lt;5,1.25*((0.000001*((QHS_Vpre+QLS_VPRE)*FSW_Vpre+QLS_Boost*FSW_Boost))^2),(Vpre-5)*0.000001*((QHS_Vpre+QLS_VPRE)*FSW_Vpre+QLS_Boost*FSW_Boost)))</f>
        <v>6.4930000000000002E-2</v>
      </c>
      <c r="AB18" s="87"/>
      <c r="AC18" s="103" t="s">
        <v>75</v>
      </c>
      <c r="AD18" s="36"/>
      <c r="AE18" s="6"/>
    </row>
    <row r="19" spans="1:32" ht="13.5" customHeight="1" x14ac:dyDescent="0.2">
      <c r="A19" s="35"/>
      <c r="B19" s="80"/>
      <c r="C19" s="92"/>
      <c r="D19" s="35"/>
      <c r="E19" s="193" t="s">
        <v>44</v>
      </c>
      <c r="F19" s="195">
        <v>19.5</v>
      </c>
      <c r="G19" s="35"/>
      <c r="J19" s="39"/>
      <c r="K19" s="80"/>
      <c r="L19" s="92"/>
      <c r="M19" s="39"/>
      <c r="N19" s="23"/>
      <c r="O19" s="91"/>
      <c r="P19" s="39"/>
      <c r="Q19" s="23"/>
      <c r="R19" s="99" t="str">
        <f>"( ≤ "&amp;Boost_Imax&amp;" mA )"</f>
        <v>( ≤ 800 mA )</v>
      </c>
      <c r="S19" s="39"/>
      <c r="T19" s="23"/>
      <c r="U19" s="23"/>
      <c r="V19" s="36"/>
      <c r="W19" s="23"/>
      <c r="X19" s="23"/>
      <c r="Y19" s="35"/>
      <c r="Z19" s="86"/>
      <c r="AA19" s="87"/>
      <c r="AB19" s="87"/>
      <c r="AC19" s="103"/>
      <c r="AD19" s="36"/>
      <c r="AE19" s="6"/>
    </row>
    <row r="20" spans="1:32" ht="13.5" customHeight="1" x14ac:dyDescent="0.2">
      <c r="A20" s="35"/>
      <c r="B20" s="80"/>
      <c r="C20" s="92"/>
      <c r="D20" s="35"/>
      <c r="E20" s="23" t="s">
        <v>235</v>
      </c>
      <c r="F20" s="20">
        <v>8</v>
      </c>
      <c r="G20" s="35"/>
      <c r="H20" s="81" t="s">
        <v>4</v>
      </c>
      <c r="I20" s="22">
        <v>455</v>
      </c>
      <c r="J20" s="39"/>
      <c r="K20" s="80"/>
      <c r="L20" s="92"/>
      <c r="M20" s="39"/>
      <c r="N20" s="23"/>
      <c r="O20" s="91"/>
      <c r="P20" s="39"/>
      <c r="S20" s="39"/>
      <c r="T20" s="23"/>
      <c r="U20" s="23"/>
      <c r="V20" s="36"/>
      <c r="W20" s="23"/>
      <c r="X20" s="23"/>
      <c r="Y20" s="35"/>
      <c r="Z20" s="86"/>
      <c r="AA20" s="87"/>
      <c r="AB20" s="87"/>
      <c r="AC20" s="103"/>
      <c r="AD20" s="36"/>
      <c r="AE20" s="6"/>
    </row>
    <row r="21" spans="1:32" ht="13.5" customHeight="1" x14ac:dyDescent="0.2">
      <c r="A21" s="35"/>
      <c r="B21" s="80"/>
      <c r="C21" s="92"/>
      <c r="D21" s="35"/>
      <c r="E21" s="23" t="s">
        <v>236</v>
      </c>
      <c r="F21" s="20">
        <v>3</v>
      </c>
      <c r="G21" s="35"/>
      <c r="H21" s="81"/>
      <c r="I21" s="199"/>
      <c r="J21" s="39"/>
      <c r="K21" s="80"/>
      <c r="L21" s="92"/>
      <c r="M21" s="39"/>
      <c r="N21" s="23"/>
      <c r="O21" s="91"/>
      <c r="P21" s="39"/>
      <c r="Q21" s="81" t="s">
        <v>4</v>
      </c>
      <c r="R21" s="280">
        <v>2220</v>
      </c>
      <c r="S21" s="39"/>
      <c r="T21" s="23"/>
      <c r="U21" s="23"/>
      <c r="V21" s="36"/>
      <c r="W21" s="23"/>
      <c r="X21" s="23"/>
      <c r="Y21" s="35"/>
      <c r="Z21" s="86"/>
      <c r="AA21" s="87"/>
      <c r="AB21" s="87"/>
      <c r="AC21" s="103"/>
      <c r="AD21" s="36"/>
      <c r="AE21" s="6"/>
    </row>
    <row r="22" spans="1:32" ht="13.5" customHeight="1" x14ac:dyDescent="0.2">
      <c r="A22" s="35"/>
      <c r="B22" s="80"/>
      <c r="C22" s="92"/>
      <c r="D22" s="35"/>
      <c r="E22" s="23" t="s">
        <v>237</v>
      </c>
      <c r="F22" s="20">
        <v>2</v>
      </c>
      <c r="G22" s="35"/>
      <c r="H22" s="81"/>
      <c r="I22" s="199"/>
      <c r="J22" s="39"/>
      <c r="K22" s="80"/>
      <c r="L22" s="92"/>
      <c r="M22" s="39"/>
      <c r="N22" s="23"/>
      <c r="O22" s="91"/>
      <c r="P22" s="39"/>
      <c r="Q22" s="81"/>
      <c r="R22" s="199"/>
      <c r="S22" s="39"/>
      <c r="T22" s="23"/>
      <c r="U22" s="23"/>
      <c r="V22" s="36"/>
      <c r="W22" s="23"/>
      <c r="X22" s="23"/>
      <c r="Y22" s="35"/>
      <c r="Z22" s="86"/>
      <c r="AA22" s="87"/>
      <c r="AB22" s="87"/>
      <c r="AC22" s="103"/>
      <c r="AD22" s="36"/>
      <c r="AE22" s="6"/>
    </row>
    <row r="23" spans="1:32" ht="13.5" customHeight="1" x14ac:dyDescent="0.2">
      <c r="A23" s="35"/>
      <c r="B23" s="80"/>
      <c r="C23" s="92"/>
      <c r="D23" s="35"/>
      <c r="E23" s="23" t="s">
        <v>238</v>
      </c>
      <c r="F23" s="3">
        <v>900</v>
      </c>
      <c r="G23" s="35"/>
      <c r="H23" s="81"/>
      <c r="I23" s="199"/>
      <c r="J23" s="39"/>
      <c r="K23" s="80"/>
      <c r="L23" s="92"/>
      <c r="M23" s="39"/>
      <c r="N23" s="23"/>
      <c r="O23" s="91"/>
      <c r="P23" s="39"/>
      <c r="Q23" s="81"/>
      <c r="R23" s="199"/>
      <c r="S23" s="39"/>
      <c r="T23" s="23"/>
      <c r="U23" s="23"/>
      <c r="V23" s="36"/>
      <c r="W23" s="23"/>
      <c r="X23" s="23"/>
      <c r="Y23" s="35"/>
      <c r="Z23" s="86"/>
      <c r="AA23" s="87"/>
      <c r="AB23" s="87"/>
      <c r="AC23" s="103"/>
      <c r="AD23" s="36"/>
      <c r="AE23" s="6"/>
    </row>
    <row r="24" spans="1:32" ht="13.5" customHeight="1" x14ac:dyDescent="0.2">
      <c r="A24" s="35"/>
      <c r="B24" s="80"/>
      <c r="C24" s="92"/>
      <c r="D24" s="35"/>
      <c r="E24" s="197" t="s">
        <v>63</v>
      </c>
      <c r="F24" s="198">
        <f>1000*(LS_QGD_Vpre+LS_QGS_Vpre/2)/LS_Igate_Vpre</f>
        <v>4.4444444444444446</v>
      </c>
      <c r="G24" s="35"/>
      <c r="H24" s="81"/>
      <c r="I24" s="199"/>
      <c r="J24" s="39"/>
      <c r="K24" s="80"/>
      <c r="L24" s="92"/>
      <c r="M24" s="39"/>
      <c r="N24" s="23"/>
      <c r="O24" s="91"/>
      <c r="P24" s="39"/>
      <c r="Q24" s="81"/>
      <c r="R24" s="199"/>
      <c r="S24" s="39"/>
      <c r="T24" s="23"/>
      <c r="U24" s="23"/>
      <c r="V24" s="36"/>
      <c r="W24" s="23"/>
      <c r="X24" s="23"/>
      <c r="Y24" s="35"/>
      <c r="Z24" s="86"/>
      <c r="AA24" s="87"/>
      <c r="AB24" s="87"/>
      <c r="AC24" s="103"/>
      <c r="AD24" s="36"/>
      <c r="AE24" s="6"/>
    </row>
    <row r="25" spans="1:32" ht="13.5" customHeight="1" x14ac:dyDescent="0.2">
      <c r="A25" s="35"/>
      <c r="B25" s="80"/>
      <c r="C25" s="92"/>
      <c r="D25" s="35"/>
      <c r="E25" s="193" t="s">
        <v>232</v>
      </c>
      <c r="F25" s="196">
        <f>(QHS_Vpre*FSW_Vpre+QLS_VPRE*FSW_Vpre)/1000</f>
        <v>7.28</v>
      </c>
      <c r="G25" s="35"/>
      <c r="H25" s="81"/>
      <c r="I25" s="199"/>
      <c r="J25" s="39"/>
      <c r="K25" s="80"/>
      <c r="L25" s="92"/>
      <c r="M25" s="39"/>
      <c r="N25" s="23"/>
      <c r="O25" s="91"/>
      <c r="P25" s="39"/>
      <c r="Q25" s="81"/>
      <c r="R25" s="199"/>
      <c r="S25" s="39"/>
      <c r="T25" s="23"/>
      <c r="U25" s="23"/>
      <c r="V25" s="36"/>
      <c r="W25" s="23"/>
      <c r="X25" s="23"/>
      <c r="Y25" s="35"/>
      <c r="Z25" s="86"/>
      <c r="AA25" s="87"/>
      <c r="AB25" s="87"/>
      <c r="AC25" s="103"/>
      <c r="AD25" s="36"/>
      <c r="AE25" s="6"/>
    </row>
    <row r="26" spans="1:32" ht="3.75" customHeight="1" x14ac:dyDescent="0.2">
      <c r="A26" s="35"/>
      <c r="B26" s="80"/>
      <c r="C26" s="92"/>
      <c r="D26" s="35"/>
      <c r="E26" s="23"/>
      <c r="F26" s="23"/>
      <c r="G26" s="35"/>
      <c r="H26" s="81"/>
      <c r="I26" s="104"/>
      <c r="J26" s="39"/>
      <c r="K26" s="80"/>
      <c r="L26" s="92"/>
      <c r="M26" s="39"/>
      <c r="N26" s="23"/>
      <c r="O26" s="91"/>
      <c r="P26" s="39"/>
      <c r="Q26" s="80"/>
      <c r="R26" s="104"/>
      <c r="S26" s="39"/>
      <c r="T26" s="23"/>
      <c r="U26" s="23"/>
      <c r="V26" s="36"/>
      <c r="W26" s="23"/>
      <c r="X26" s="23"/>
      <c r="Y26" s="35"/>
      <c r="Z26" s="23"/>
      <c r="AA26" s="23"/>
      <c r="AB26" s="23"/>
      <c r="AC26" s="23"/>
      <c r="AD26" s="36"/>
      <c r="AE26" s="6"/>
    </row>
    <row r="27" spans="1:32" ht="3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105"/>
      <c r="AA27" s="27"/>
      <c r="AB27" s="27"/>
      <c r="AC27" s="27"/>
      <c r="AD27" s="36"/>
      <c r="AE27" s="6"/>
    </row>
    <row r="28" spans="1:32" ht="13.5" customHeight="1" x14ac:dyDescent="0.2">
      <c r="A28" s="35"/>
      <c r="B28" s="106"/>
      <c r="C28" s="107"/>
      <c r="D28" s="27"/>
      <c r="E28" s="106" t="s">
        <v>16</v>
      </c>
      <c r="F28" s="108">
        <f>(Vpre+(Ipre+Ipre_add)*LS_Rdson_Vpre/1000)/(Vsup-(Ipre+Ipre_add)*HS_Rdson_Vpre/1000+(Ipre+Ipre_add)*LS_Rdson_Vpre/1000)</f>
        <v>0.29543243282207043</v>
      </c>
      <c r="G28" s="80"/>
      <c r="H28" s="106" t="s">
        <v>8</v>
      </c>
      <c r="I28" s="109">
        <f>Vpre*(Ipre+Ipre_add)</f>
        <v>7.5805971275305142</v>
      </c>
      <c r="J28" s="51"/>
      <c r="K28" s="46"/>
      <c r="L28" s="110"/>
      <c r="M28" s="111"/>
      <c r="N28" s="46" t="s">
        <v>18</v>
      </c>
      <c r="O28" s="54">
        <f>(Boost-Vpre+Vdiode_Boost)/(Boost+Vdiode_Boost-(LS_Rdson_Boost/1000*Iboost_tot/1000*Boost/Vpre))</f>
        <v>0.32718639430728569</v>
      </c>
      <c r="P28" s="111"/>
      <c r="Q28" s="46" t="s">
        <v>8</v>
      </c>
      <c r="R28" s="111">
        <f>IF(Iboost_tot=0,0.0001,Boost*Iboost_tot/1000)</f>
        <v>0.11480000000000001</v>
      </c>
      <c r="S28" s="51"/>
      <c r="T28" s="27"/>
      <c r="U28" s="112"/>
      <c r="V28" s="36"/>
      <c r="W28" s="27"/>
      <c r="X28" s="112"/>
      <c r="Y28" s="35"/>
      <c r="Z28" s="23"/>
      <c r="AA28" s="23"/>
      <c r="AB28" s="23"/>
      <c r="AC28" s="23"/>
      <c r="AD28" s="36"/>
      <c r="AE28" s="6"/>
    </row>
    <row r="29" spans="1:32" ht="3.75" customHeight="1" x14ac:dyDescent="0.2">
      <c r="A29" s="35"/>
      <c r="B29" s="23"/>
      <c r="C29" s="100"/>
      <c r="D29" s="23"/>
      <c r="E29" s="113"/>
      <c r="F29" s="100"/>
      <c r="G29" s="23"/>
      <c r="H29" s="23"/>
      <c r="I29" s="23"/>
      <c r="J29" s="36"/>
      <c r="K29" s="34"/>
      <c r="L29" s="34"/>
      <c r="M29" s="34"/>
      <c r="N29" s="34"/>
      <c r="O29" s="34"/>
      <c r="P29" s="34"/>
      <c r="Q29" s="34"/>
      <c r="R29" s="34"/>
      <c r="S29" s="36"/>
      <c r="T29" s="27"/>
      <c r="U29" s="114"/>
      <c r="V29" s="36"/>
      <c r="W29" s="27"/>
      <c r="X29" s="114"/>
      <c r="Y29" s="35"/>
      <c r="Z29" s="105"/>
      <c r="AA29" s="27"/>
      <c r="AB29" s="27"/>
      <c r="AC29" s="27"/>
      <c r="AD29" s="36"/>
      <c r="AE29" s="6"/>
    </row>
    <row r="30" spans="1:32" ht="13.5" customHeight="1" x14ac:dyDescent="0.2">
      <c r="A30" s="35"/>
      <c r="B30" s="106" t="s">
        <v>59</v>
      </c>
      <c r="C30" s="87">
        <f>Duty_Cycle_Vpre*(Ipre+Ipre_add)^2*HS_Rdson_Vpre/1000</f>
        <v>1.969390786875224E-2</v>
      </c>
      <c r="D30" s="23"/>
      <c r="E30" s="106" t="s">
        <v>5</v>
      </c>
      <c r="F30" s="87">
        <f>ESR_Cin_Vpre/1000*((Ipre+Ipre_add)*SQRT(Duty_Cycle_Vpre*((1-Duty_Cycle_Vpre)+(((1-Duty_Cycle_Vpre)*THS_sw_Vpre*Vpre/(Ipre+Ipre_add)/L_Vpre/1000)^2/12))))^2</f>
        <v>7.115738700858594E-2</v>
      </c>
      <c r="G30" s="23"/>
      <c r="H30" s="28">
        <v>2</v>
      </c>
      <c r="I30" s="23"/>
      <c r="J30" s="36"/>
      <c r="K30" s="46" t="s">
        <v>61</v>
      </c>
      <c r="L30" s="87">
        <f>IF(Iboost_tot=0,0,Duty_Cycle_Boost*(Iboost_in/1000)^2*LS_Rdson_Boost/1000)</f>
        <v>8.095128144332808E-5</v>
      </c>
      <c r="M30" s="23"/>
      <c r="N30" s="106" t="s">
        <v>5</v>
      </c>
      <c r="O30" s="87">
        <f>IF(Iboost_tot=0,0,ESR_Cin_Boost/1000*ABS(Iboost_tot/1000*((Boost*TLS_sw_Boost/(SQRT(12)*Iboost_tot*L_Boost))*((Duty_Cycle_Boost-1)/Duty_Cycle_Boost^2))))</f>
        <v>1.8169440648157394E-4</v>
      </c>
      <c r="P30" s="34"/>
      <c r="Q30" s="34"/>
      <c r="R30" s="34"/>
      <c r="S30" s="36"/>
      <c r="T30" s="115" t="s">
        <v>8</v>
      </c>
      <c r="U30" s="116">
        <f>VLDO1*I_LDO1/1000</f>
        <v>0.16500000000000001</v>
      </c>
      <c r="V30" s="36"/>
      <c r="W30" s="115" t="s">
        <v>8</v>
      </c>
      <c r="X30" s="116">
        <f>VLDO2*I_LDO2/1000</f>
        <v>6.6000000000000003E-2</v>
      </c>
      <c r="Y30" s="35"/>
      <c r="Z30" s="117" t="s">
        <v>78</v>
      </c>
      <c r="AA30" s="118">
        <f>IF(LDO3_in="Vpre",Vpre*I_LDO3/1000,IF(LDO3_in="Boost",Boost*I_LDO3/1000,0))+IF(LDO4_in="Vpre",Vpre*I_LDO4/1000,IF(LDO4_in="Boost",Boost*I_LDO4/1000,0))+(Vpre*Ipre_add)+Pout_LDO1+Pout_LDO2+Pout_Buck1+Pout_Buck2+Pout_Buck3</f>
        <v>7.2309999999999999</v>
      </c>
      <c r="AB30" s="118"/>
      <c r="AC30" s="119" t="s">
        <v>75</v>
      </c>
      <c r="AD30" s="36"/>
      <c r="AE30" s="6"/>
    </row>
    <row r="31" spans="1:32" ht="13.5" customHeight="1" x14ac:dyDescent="0.2">
      <c r="A31" s="35"/>
      <c r="B31" s="106" t="s">
        <v>60</v>
      </c>
      <c r="C31" s="87">
        <f>0.000001*Vsup*FSW_Vpre*(Ipre+Ipre_add)*2*THS_sw_Vpre/2</f>
        <v>5.2345153064899057E-2</v>
      </c>
      <c r="D31" s="23"/>
      <c r="E31" s="106" t="s">
        <v>6</v>
      </c>
      <c r="F31" s="120">
        <f>ESR_Cout_Vpre/1000*(Delta_Il_Vpre/2/SQRT(3))^2</f>
        <v>7.3925767777917924E-4</v>
      </c>
      <c r="G31" s="23"/>
      <c r="H31" s="28">
        <v>1.75</v>
      </c>
      <c r="I31" s="23"/>
      <c r="J31" s="36"/>
      <c r="K31" s="46" t="s">
        <v>62</v>
      </c>
      <c r="L31" s="87">
        <f>IF(Iboost_tot=0,0,0.000000001*Boost*FSW_Boost*Iboost_in*2*TLS_sw_Boost/2+0.000001*QLS_Boost*GLS_Boost*FSW_Boost)</f>
        <v>1.4206089386893963E-2</v>
      </c>
      <c r="M31" s="23"/>
      <c r="N31" s="106" t="s">
        <v>6</v>
      </c>
      <c r="O31" s="87">
        <f>IF(Iboost_tot=0,0,ESR_Cout_Boost/1000*Iboost_tot/1000*SQRT(ABS(((Duty_Cycle_Boost-1)+(1/3*(Boost*TLS_sw_Boost/(2*Iboost_tot*L_Boost))^2*1/Duty_Cycle_Boost*((Duty_Cycle_Boost-1)/Duty_Cycle_Boost^2)^2)))))</f>
        <v>2.7200494880457072E-4</v>
      </c>
      <c r="P31" s="34"/>
      <c r="Q31" s="34"/>
      <c r="R31" s="34"/>
      <c r="S31" s="36"/>
      <c r="T31" s="115" t="s">
        <v>10</v>
      </c>
      <c r="U31" s="87">
        <f>IF(LDO1_in="Boost",(Boost-VLDO1)*I_LDO1/1000,IF(LDO1_in="Vpre",(Vpre-VLDO1)*I_LDO1/1000,(Buck3-VLDO1)*I_LDO1/1000))</f>
        <v>3.9999999999999994E-2</v>
      </c>
      <c r="V31" s="36"/>
      <c r="W31" s="115" t="s">
        <v>10</v>
      </c>
      <c r="X31" s="87">
        <f>(Boost-VLDO2)*I_LDO2/1000</f>
        <v>4.880000000000001E-2</v>
      </c>
      <c r="Y31" s="35"/>
      <c r="Z31" s="117" t="s">
        <v>9</v>
      </c>
      <c r="AA31" s="118">
        <f>Pdis_tot_Vpre+Pdis_tot_Boost+Pdis_IC_LDO1+Pdis_IC_LDO2+Pdis_tot_Buck1+Pdis_tot_Buck2+Pdis_tot_Buck3+Pdis_Int_IC</f>
        <v>0.77034761937424279</v>
      </c>
      <c r="AB31" s="118"/>
      <c r="AC31" s="119" t="s">
        <v>75</v>
      </c>
      <c r="AD31" s="36"/>
      <c r="AE31" s="6"/>
    </row>
    <row r="32" spans="1:32" ht="13.5" customHeight="1" x14ac:dyDescent="0.2">
      <c r="A32" s="35"/>
      <c r="B32" s="106" t="s">
        <v>61</v>
      </c>
      <c r="C32" s="87">
        <f>(1-Duty_Cycle_Vpre)*(Ipre+Ipre_add)^2*LS_Rdson_Vpre/1000</f>
        <v>4.6967384801891186E-2</v>
      </c>
      <c r="D32" s="23"/>
      <c r="E32" s="106" t="s">
        <v>7</v>
      </c>
      <c r="F32" s="87">
        <f>DCR_L_Vpre/1000*((Ipre+Ipre_add)^2+Delta_Il_Vpre^2/12)</f>
        <v>0.10477360791125048</v>
      </c>
      <c r="G32" s="23"/>
      <c r="H32" s="28">
        <v>1</v>
      </c>
      <c r="I32" s="23"/>
      <c r="J32" s="36"/>
      <c r="K32" s="46" t="s">
        <v>15</v>
      </c>
      <c r="L32" s="87">
        <f>IF(Iboost_tot=0,0,Vdiode_Boost*Iboost_in/1000*(1-Duty_Cycle_Boost))</f>
        <v>6.9999999999999993E-3</v>
      </c>
      <c r="M32" s="23"/>
      <c r="N32" s="106" t="s">
        <v>7</v>
      </c>
      <c r="O32" s="87">
        <f>IF(Iboost_tot=0,0,DCR_L_Boost/1000*((Iboost_in/1000)^2+Delta_Il_Boost^2/12))</f>
        <v>6.7832346362417477E-5</v>
      </c>
      <c r="P32" s="34"/>
      <c r="Q32" s="34"/>
      <c r="R32" s="34"/>
      <c r="S32" s="36"/>
      <c r="T32" s="121" t="s">
        <v>13</v>
      </c>
      <c r="U32" s="88">
        <f>IF(Pout_LDO1=0,"-",Pout_LDO1/(Pout_LDO1+Pdis_IC_LDO1))</f>
        <v>0.80487804878048774</v>
      </c>
      <c r="V32" s="36"/>
      <c r="W32" s="121" t="s">
        <v>13</v>
      </c>
      <c r="X32" s="88">
        <f>IF(Pout_LDO2=0,"-",Pout_LDO2/(Pout_LDO2+Pdis_IC_LDO2))</f>
        <v>0.57491289198606266</v>
      </c>
      <c r="Y32" s="35"/>
      <c r="Z32" s="122" t="s">
        <v>76</v>
      </c>
      <c r="AA32" s="123">
        <f>SUM(AA11:AA18)</f>
        <v>0.40547491471264774</v>
      </c>
      <c r="AB32" s="124"/>
      <c r="AC32" s="125" t="s">
        <v>75</v>
      </c>
      <c r="AD32" s="36"/>
      <c r="AE32" s="6"/>
    </row>
    <row r="33" spans="1:31" ht="13.5" customHeight="1" x14ac:dyDescent="0.2">
      <c r="A33" s="35"/>
      <c r="B33" s="106" t="s">
        <v>62</v>
      </c>
      <c r="C33" s="87">
        <f>0.000001*0.6*FSW_Vpre*(Ipre+Ipre_add)*2*TLS_sw_Vpre/2</f>
        <v>2.2433637027813877E-3</v>
      </c>
      <c r="D33" s="23"/>
      <c r="E33" s="106" t="s">
        <v>228</v>
      </c>
      <c r="F33" s="87">
        <f>C17/1000*(Ipre_add+Ipre)^2</f>
        <v>3.4185278292637657E-2</v>
      </c>
      <c r="G33" s="23"/>
      <c r="H33" s="23"/>
      <c r="I33" s="23"/>
      <c r="J33" s="36"/>
      <c r="K33" s="46"/>
      <c r="L33" s="87"/>
      <c r="M33" s="23"/>
      <c r="N33" s="106"/>
      <c r="O33" s="127"/>
      <c r="P33" s="34"/>
      <c r="Q33" s="34"/>
      <c r="R33" s="34"/>
      <c r="S33" s="36"/>
      <c r="T33" s="27"/>
      <c r="U33" s="27"/>
      <c r="V33" s="36"/>
      <c r="W33" s="27"/>
      <c r="X33" s="27"/>
      <c r="Y33" s="35"/>
      <c r="Z33" s="23"/>
      <c r="AA33" s="23"/>
      <c r="AB33" s="128"/>
      <c r="AC33" s="119"/>
      <c r="AD33" s="36"/>
      <c r="AE33" s="187"/>
    </row>
    <row r="34" spans="1:31" ht="3.75" customHeight="1" thickBot="1" x14ac:dyDescent="0.25">
      <c r="A34" s="35"/>
      <c r="B34" s="106"/>
      <c r="C34" s="23"/>
      <c r="D34" s="23"/>
      <c r="E34" s="106"/>
      <c r="F34" s="129"/>
      <c r="G34" s="23"/>
      <c r="H34" s="23"/>
      <c r="I34" s="23"/>
      <c r="J34" s="36"/>
      <c r="K34" s="46"/>
      <c r="L34" s="23"/>
      <c r="M34" s="23"/>
      <c r="N34" s="106"/>
      <c r="O34" s="130"/>
      <c r="P34" s="34"/>
      <c r="Q34" s="34"/>
      <c r="R34" s="34"/>
      <c r="S34" s="36"/>
      <c r="T34" s="121"/>
      <c r="U34" s="131"/>
      <c r="V34" s="36"/>
      <c r="W34" s="121"/>
      <c r="X34" s="131"/>
      <c r="Y34" s="35"/>
      <c r="Z34" s="23"/>
      <c r="AA34" s="23"/>
      <c r="AB34" s="27"/>
      <c r="AC34" s="27"/>
      <c r="AD34" s="36"/>
      <c r="AE34" s="187"/>
    </row>
    <row r="35" spans="1:31" ht="13.5" customHeight="1" thickBot="1" x14ac:dyDescent="0.25">
      <c r="A35" s="35"/>
      <c r="B35" s="106" t="s">
        <v>9</v>
      </c>
      <c r="C35" s="87">
        <f>P_LS_sw_Vpre+P_LS_Cond_Vpre+P_HS_sw_Vpre+P_HS_Cond_Vpre+P_Cin_Vpre+P_Cout_Vpre+P_L_Vpre+Pdis_IC_Vpre+P_R_Shunt</f>
        <v>0.35582049184372866</v>
      </c>
      <c r="D35" s="23"/>
      <c r="E35" s="132" t="s">
        <v>11</v>
      </c>
      <c r="F35" s="97">
        <f>1000*(Vsup-Vpre-HS_Rdson_Vpre*(Ipre+Ipre_add)/1000)*Duty_Cycle_Vpre/FSW_Vpre/L_Vpre</f>
        <v>0.94186475320770713</v>
      </c>
      <c r="G35" s="23"/>
      <c r="H35" s="133" t="str">
        <f>IF((Ipre+Ipre_add)&gt;Delta_Il_Vpre/2,"CCM","DCM")</f>
        <v>CCM</v>
      </c>
      <c r="I35" s="23"/>
      <c r="J35" s="36"/>
      <c r="K35" s="46" t="s">
        <v>9</v>
      </c>
      <c r="L35" s="87">
        <f>P_diode_Boost+P_LS_sw_Boost+P_LS_cond_Boost+P_Cin_Boost+P_Cout_Boost+P_L_Boost</f>
        <v>2.1808572369985856E-2</v>
      </c>
      <c r="M35" s="23"/>
      <c r="N35" s="132" t="s">
        <v>11</v>
      </c>
      <c r="O35" s="97">
        <f>IF(Iboost_tot=0,0,1000*(Duty_Cycle_Boost*Vpre)/(L_Boost*FSW_Boost))</f>
        <v>0.12856662992714887</v>
      </c>
      <c r="P35" s="34"/>
      <c r="Q35" s="133" t="str">
        <f>IF((Iboost_in/1000)&gt;Delta_Il_Boost/2,"CCM","DCM")</f>
        <v>DCM</v>
      </c>
      <c r="R35" s="34"/>
      <c r="S35" s="36"/>
      <c r="T35" s="27"/>
      <c r="U35" s="27"/>
      <c r="V35" s="36"/>
      <c r="W35" s="27"/>
      <c r="X35" s="27"/>
      <c r="Y35" s="35"/>
      <c r="Z35" s="122" t="s">
        <v>77</v>
      </c>
      <c r="AA35" s="134">
        <f>TJ_max-(AA32*RTH_ja)</f>
        <v>137.83575255862056</v>
      </c>
      <c r="AB35" s="27"/>
      <c r="AC35" s="135" t="s">
        <v>75</v>
      </c>
      <c r="AD35" s="36"/>
      <c r="AE35" s="187"/>
    </row>
    <row r="36" spans="1:31" ht="13.5" customHeight="1" x14ac:dyDescent="0.2">
      <c r="A36" s="35"/>
      <c r="B36" s="106" t="s">
        <v>10</v>
      </c>
      <c r="C36" s="87">
        <f>0.000001*((QHS_Vpre*GHS_Vpre*FSW_Vpre)*(Rpu/(2*(Rpu+Rg))+Rpd/(2*(Rpd+Rg)))+(QLS_VPRE*GLS_Vpre*FSW_Vpre)*(Rpd/(2*(Rpd+Rg))+Rpu/(2*(Rpu+Rg))))</f>
        <v>2.3715151515151515E-2</v>
      </c>
      <c r="D36" s="23"/>
      <c r="E36" s="106" t="s">
        <v>3</v>
      </c>
      <c r="F36" s="97">
        <f>(Ipre+Ipre_add)+Delta_Il_Vpre/2</f>
        <v>2.3198585052698331</v>
      </c>
      <c r="G36" s="23"/>
      <c r="H36" s="27"/>
      <c r="I36" s="27"/>
      <c r="J36" s="36"/>
      <c r="K36" s="46" t="s">
        <v>10</v>
      </c>
      <c r="L36" s="87">
        <f>P_LS_sw_Boost+P_LS_cond_Boost</f>
        <v>1.4287040668337291E-2</v>
      </c>
      <c r="M36" s="23"/>
      <c r="N36" s="106" t="s">
        <v>3</v>
      </c>
      <c r="O36" s="97">
        <f>Iboost_in/1000+Delta_Il_Boost/2</f>
        <v>9.4009229883812162E-2</v>
      </c>
      <c r="P36" s="34"/>
      <c r="Q36" s="34"/>
      <c r="R36" s="34"/>
      <c r="S36" s="36"/>
      <c r="T36" s="27"/>
      <c r="U36" s="27"/>
      <c r="V36" s="36"/>
      <c r="W36" s="27"/>
      <c r="X36" s="27"/>
      <c r="Y36" s="35"/>
      <c r="Z36" s="136" t="s">
        <v>105</v>
      </c>
      <c r="AA36" s="137">
        <f>AA30/(AA30+AA31)</f>
        <v>0.90372276571149779</v>
      </c>
      <c r="AB36" s="23"/>
      <c r="AC36" s="135" t="s">
        <v>75</v>
      </c>
      <c r="AD36" s="36"/>
      <c r="AE36" s="187"/>
    </row>
    <row r="37" spans="1:31" ht="13.5" customHeight="1" x14ac:dyDescent="0.2">
      <c r="A37" s="35"/>
      <c r="B37" s="138" t="s">
        <v>12</v>
      </c>
      <c r="C37" s="88">
        <f>Pout_Vpre/(Pout_Vpre+Pdis_tot_Vpre)</f>
        <v>0.95516610781984224</v>
      </c>
      <c r="D37" s="23"/>
      <c r="E37" s="106" t="s">
        <v>17</v>
      </c>
      <c r="F37" s="139">
        <f>1000*(Vsup*Duty_Cycle_Vpre*(1-Duty_Cycle_Vpre)/(8*L_Vpre*Cout_Vpre*FSW_Vpre^2)*1000000+ESR_Cout_Vpre/1000*Delta_Il_Vpre)</f>
        <v>13.73121508339441</v>
      </c>
      <c r="G37" s="23"/>
      <c r="H37" s="27"/>
      <c r="I37" s="27"/>
      <c r="J37" s="36"/>
      <c r="K37" s="140" t="s">
        <v>69</v>
      </c>
      <c r="L37" s="88">
        <f>Pout_Boost/(Pout_Boost+Pdis_tot_Boost)</f>
        <v>0.84035721923130657</v>
      </c>
      <c r="M37" s="23"/>
      <c r="N37" s="106" t="s">
        <v>17</v>
      </c>
      <c r="O37" s="139">
        <f>1000*(Duty_Cycle_Boost*Iboost_tot/1000)/(FSW_Boost*Cout_Boost/1000)+ESR_Cout_Boost/1000*Delta_Il_Boost</f>
        <v>0.14866692499624704</v>
      </c>
      <c r="P37" s="34"/>
      <c r="Q37" s="34"/>
      <c r="R37" s="34"/>
      <c r="S37" s="36"/>
      <c r="T37" s="27"/>
      <c r="U37" s="27"/>
      <c r="V37" s="36"/>
      <c r="W37" s="27"/>
      <c r="X37" s="27"/>
      <c r="Y37" s="35"/>
      <c r="Z37" s="23"/>
      <c r="AA37" s="23"/>
      <c r="AB37" s="23"/>
      <c r="AC37" s="27"/>
      <c r="AD37" s="36"/>
      <c r="AE37" s="182"/>
    </row>
    <row r="38" spans="1:31" ht="3.75" customHeight="1" x14ac:dyDescent="0.2">
      <c r="A38" s="35"/>
      <c r="B38" s="138"/>
      <c r="C38" s="88"/>
      <c r="D38" s="23"/>
      <c r="E38" s="106"/>
      <c r="F38" s="139"/>
      <c r="G38" s="23"/>
      <c r="H38" s="27"/>
      <c r="I38" s="27"/>
      <c r="J38" s="36"/>
      <c r="K38" s="140"/>
      <c r="L38" s="54"/>
      <c r="M38" s="34"/>
      <c r="N38" s="46"/>
      <c r="O38" s="141"/>
      <c r="P38" s="34"/>
      <c r="Q38" s="34"/>
      <c r="R38" s="34"/>
      <c r="S38" s="36"/>
      <c r="T38" s="27"/>
      <c r="U38" s="27"/>
      <c r="V38" s="36"/>
      <c r="W38" s="27"/>
      <c r="X38" s="27"/>
      <c r="Y38" s="35"/>
      <c r="Z38" s="27"/>
      <c r="AA38" s="27"/>
      <c r="AB38" s="27"/>
      <c r="AC38" s="27"/>
      <c r="AD38" s="36"/>
      <c r="AE38" s="182"/>
    </row>
    <row r="39" spans="1:31" ht="3.7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36"/>
      <c r="Z39" s="36"/>
      <c r="AA39" s="36"/>
      <c r="AB39" s="36"/>
      <c r="AC39" s="36"/>
      <c r="AD39" s="36"/>
      <c r="AE39" s="182"/>
    </row>
    <row r="40" spans="1:31" ht="15" x14ac:dyDescent="0.2">
      <c r="A40" s="39"/>
      <c r="B40" s="300" t="s">
        <v>70</v>
      </c>
      <c r="C40" s="301"/>
      <c r="D40" s="301"/>
      <c r="E40" s="301"/>
      <c r="F40" s="301"/>
      <c r="G40" s="301"/>
      <c r="H40" s="301"/>
      <c r="I40" s="301"/>
      <c r="J40" s="39"/>
      <c r="K40" s="300" t="s">
        <v>71</v>
      </c>
      <c r="L40" s="301"/>
      <c r="M40" s="301"/>
      <c r="N40" s="301"/>
      <c r="O40" s="301"/>
      <c r="P40" s="301"/>
      <c r="Q40" s="301"/>
      <c r="R40" s="301"/>
      <c r="S40" s="39"/>
      <c r="T40" s="300" t="s">
        <v>226</v>
      </c>
      <c r="U40" s="301"/>
      <c r="V40" s="301"/>
      <c r="W40" s="301"/>
      <c r="X40" s="301"/>
      <c r="Y40" s="301"/>
      <c r="Z40" s="301"/>
      <c r="AA40" s="301"/>
      <c r="AB40" s="41"/>
      <c r="AC40" s="27"/>
      <c r="AD40" s="27"/>
      <c r="AE40" s="187"/>
    </row>
    <row r="41" spans="1:31" ht="3.75" customHeight="1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6"/>
      <c r="K41" s="35"/>
      <c r="L41" s="35"/>
      <c r="M41" s="36"/>
      <c r="N41" s="35"/>
      <c r="O41" s="35"/>
      <c r="P41" s="36"/>
      <c r="Q41" s="35"/>
      <c r="R41" s="35"/>
      <c r="S41" s="36"/>
      <c r="T41" s="35"/>
      <c r="U41" s="35"/>
      <c r="V41" s="36"/>
      <c r="W41" s="35"/>
      <c r="X41" s="35"/>
      <c r="Y41" s="36"/>
      <c r="Z41" s="35"/>
      <c r="AA41" s="35"/>
      <c r="AB41" s="36"/>
      <c r="AC41" s="27"/>
      <c r="AD41" s="27"/>
      <c r="AE41" s="187"/>
    </row>
    <row r="42" spans="1:31" ht="13.5" customHeight="1" x14ac:dyDescent="0.2">
      <c r="A42" s="35"/>
      <c r="B42" s="295" t="s">
        <v>39</v>
      </c>
      <c r="C42" s="295"/>
      <c r="D42" s="35"/>
      <c r="E42" s="295" t="s">
        <v>47</v>
      </c>
      <c r="F42" s="295"/>
      <c r="G42" s="35"/>
      <c r="H42" s="295" t="s">
        <v>2</v>
      </c>
      <c r="I42" s="295"/>
      <c r="J42" s="39"/>
      <c r="K42" s="295" t="s">
        <v>39</v>
      </c>
      <c r="L42" s="295"/>
      <c r="M42" s="35"/>
      <c r="N42" s="295" t="s">
        <v>47</v>
      </c>
      <c r="O42" s="295"/>
      <c r="P42" s="35"/>
      <c r="Q42" s="295" t="s">
        <v>2</v>
      </c>
      <c r="R42" s="295"/>
      <c r="S42" s="39"/>
      <c r="T42" s="295" t="s">
        <v>39</v>
      </c>
      <c r="U42" s="295"/>
      <c r="V42" s="35"/>
      <c r="W42" s="295" t="s">
        <v>47</v>
      </c>
      <c r="X42" s="295"/>
      <c r="Y42" s="35"/>
      <c r="Z42" s="295" t="s">
        <v>2</v>
      </c>
      <c r="AA42" s="295"/>
      <c r="AB42" s="41"/>
      <c r="AC42" s="27"/>
      <c r="AD42" s="27"/>
      <c r="AE42" s="187"/>
    </row>
    <row r="43" spans="1:31" ht="13.5" customHeight="1" x14ac:dyDescent="0.2">
      <c r="A43" s="35"/>
      <c r="B43" s="80" t="s">
        <v>0</v>
      </c>
      <c r="C43" s="82">
        <f>Cout_Vpre</f>
        <v>60</v>
      </c>
      <c r="D43" s="35"/>
      <c r="E43" s="23" t="s">
        <v>41</v>
      </c>
      <c r="F43" s="83">
        <v>135</v>
      </c>
      <c r="G43" s="35"/>
      <c r="H43" s="80" t="s">
        <v>14</v>
      </c>
      <c r="I43" s="84">
        <f>Vpre</f>
        <v>4.0999999999999996</v>
      </c>
      <c r="J43" s="39"/>
      <c r="K43" s="80" t="s">
        <v>0</v>
      </c>
      <c r="L43" s="82">
        <f>Cout_Vpre</f>
        <v>60</v>
      </c>
      <c r="M43" s="35"/>
      <c r="N43" s="23" t="s">
        <v>41</v>
      </c>
      <c r="O43" s="83">
        <v>135</v>
      </c>
      <c r="P43" s="35"/>
      <c r="Q43" s="80" t="s">
        <v>14</v>
      </c>
      <c r="R43" s="84">
        <f>Vpre</f>
        <v>4.0999999999999996</v>
      </c>
      <c r="S43" s="39"/>
      <c r="T43" s="80" t="s">
        <v>0</v>
      </c>
      <c r="U43" s="82">
        <f>Cout_Vpre</f>
        <v>60</v>
      </c>
      <c r="V43" s="35"/>
      <c r="W43" s="23" t="s">
        <v>41</v>
      </c>
      <c r="X43" s="83">
        <v>135</v>
      </c>
      <c r="Y43" s="35"/>
      <c r="Z43" s="80" t="s">
        <v>14</v>
      </c>
      <c r="AA43" s="84">
        <f>Vpre</f>
        <v>4.0999999999999996</v>
      </c>
      <c r="AB43" s="41"/>
      <c r="AC43" s="27"/>
      <c r="AD43" s="27"/>
      <c r="AE43" s="187"/>
    </row>
    <row r="44" spans="1:31" ht="13.5" customHeight="1" x14ac:dyDescent="0.2">
      <c r="A44" s="35"/>
      <c r="B44" s="80" t="s">
        <v>21</v>
      </c>
      <c r="C44" s="89">
        <f>ESR_Cout_Vpre</f>
        <v>10</v>
      </c>
      <c r="D44" s="35"/>
      <c r="E44" s="23" t="s">
        <v>43</v>
      </c>
      <c r="F44" s="90">
        <v>0.5</v>
      </c>
      <c r="G44" s="35"/>
      <c r="H44" s="80"/>
      <c r="I44" s="84"/>
      <c r="J44" s="39"/>
      <c r="K44" s="80" t="s">
        <v>21</v>
      </c>
      <c r="L44" s="89">
        <f>ESR_Cout_Vpre</f>
        <v>10</v>
      </c>
      <c r="M44" s="35"/>
      <c r="N44" s="23" t="s">
        <v>43</v>
      </c>
      <c r="O44" s="90">
        <v>0.5</v>
      </c>
      <c r="P44" s="35"/>
      <c r="Q44" s="80"/>
      <c r="R44" s="84"/>
      <c r="S44" s="39"/>
      <c r="T44" s="80" t="s">
        <v>21</v>
      </c>
      <c r="U44" s="89">
        <f>ESR_Cout_Vpre</f>
        <v>10</v>
      </c>
      <c r="V44" s="35"/>
      <c r="W44" s="23" t="s">
        <v>43</v>
      </c>
      <c r="X44" s="90">
        <v>0.5</v>
      </c>
      <c r="Y44" s="35"/>
      <c r="Z44" s="80"/>
      <c r="AA44" s="84"/>
      <c r="AB44" s="41"/>
      <c r="AC44" s="23"/>
      <c r="AD44" s="23"/>
      <c r="AE44" s="187"/>
    </row>
    <row r="45" spans="1:31" ht="13.5" customHeight="1" x14ac:dyDescent="0.2">
      <c r="A45" s="35"/>
      <c r="B45" s="80" t="s">
        <v>1</v>
      </c>
      <c r="C45" s="4">
        <v>40</v>
      </c>
      <c r="D45" s="35"/>
      <c r="E45" s="23" t="s">
        <v>64</v>
      </c>
      <c r="F45" s="91">
        <v>5</v>
      </c>
      <c r="G45" s="35"/>
      <c r="H45" s="81" t="s">
        <v>48</v>
      </c>
      <c r="I45" s="1">
        <v>1.25</v>
      </c>
      <c r="J45" s="39"/>
      <c r="K45" s="80" t="s">
        <v>1</v>
      </c>
      <c r="L45" s="4">
        <v>40</v>
      </c>
      <c r="M45" s="35"/>
      <c r="N45" s="23" t="s">
        <v>64</v>
      </c>
      <c r="O45" s="91">
        <v>5</v>
      </c>
      <c r="P45" s="35"/>
      <c r="Q45" s="81" t="s">
        <v>50</v>
      </c>
      <c r="R45" s="1">
        <v>1.25</v>
      </c>
      <c r="S45" s="39"/>
      <c r="T45" s="80" t="s">
        <v>1</v>
      </c>
      <c r="U45" s="4">
        <v>40</v>
      </c>
      <c r="V45" s="35"/>
      <c r="W45" s="23" t="s">
        <v>64</v>
      </c>
      <c r="X45" s="91">
        <v>5</v>
      </c>
      <c r="Y45" s="35"/>
      <c r="Z45" s="81" t="s">
        <v>52</v>
      </c>
      <c r="AA45" s="1">
        <v>3.3</v>
      </c>
      <c r="AB45" s="41"/>
      <c r="AC45" s="23"/>
      <c r="AD45" s="23"/>
      <c r="AE45" s="187"/>
    </row>
    <row r="46" spans="1:31" ht="13.5" customHeight="1" x14ac:dyDescent="0.2">
      <c r="A46" s="35"/>
      <c r="B46" s="80" t="s">
        <v>22</v>
      </c>
      <c r="C46" s="5">
        <v>10</v>
      </c>
      <c r="D46" s="35"/>
      <c r="E46" s="23" t="s">
        <v>42</v>
      </c>
      <c r="F46" s="93">
        <v>5</v>
      </c>
      <c r="G46" s="35"/>
      <c r="H46" s="23"/>
      <c r="I46" s="23"/>
      <c r="J46" s="39"/>
      <c r="K46" s="80" t="s">
        <v>22</v>
      </c>
      <c r="L46" s="5">
        <v>10</v>
      </c>
      <c r="M46" s="35"/>
      <c r="N46" s="23" t="s">
        <v>42</v>
      </c>
      <c r="O46" s="93">
        <v>5</v>
      </c>
      <c r="P46" s="35"/>
      <c r="Q46" s="23"/>
      <c r="R46" s="23"/>
      <c r="S46" s="39"/>
      <c r="T46" s="80" t="s">
        <v>22</v>
      </c>
      <c r="U46" s="5">
        <v>10</v>
      </c>
      <c r="V46" s="35"/>
      <c r="W46" s="23" t="s">
        <v>42</v>
      </c>
      <c r="X46" s="93">
        <v>5</v>
      </c>
      <c r="Y46" s="35"/>
      <c r="Z46" s="23"/>
      <c r="AA46" s="23"/>
      <c r="AB46" s="41"/>
      <c r="AC46" s="23"/>
      <c r="AD46" s="23"/>
      <c r="AE46" s="187"/>
    </row>
    <row r="47" spans="1:31" ht="13.5" customHeight="1" x14ac:dyDescent="0.2">
      <c r="A47" s="35"/>
      <c r="B47" s="96" t="s">
        <v>23</v>
      </c>
      <c r="C47" s="21">
        <v>1</v>
      </c>
      <c r="D47" s="35"/>
      <c r="E47" s="23" t="s">
        <v>44</v>
      </c>
      <c r="F47" s="83">
        <v>80</v>
      </c>
      <c r="G47" s="35"/>
      <c r="H47" s="81" t="s">
        <v>49</v>
      </c>
      <c r="I47" s="2">
        <v>0.5</v>
      </c>
      <c r="J47" s="39"/>
      <c r="K47" s="96" t="s">
        <v>23</v>
      </c>
      <c r="L47" s="21">
        <v>1</v>
      </c>
      <c r="M47" s="35"/>
      <c r="N47" s="23" t="s">
        <v>44</v>
      </c>
      <c r="O47" s="83">
        <v>80</v>
      </c>
      <c r="P47" s="35"/>
      <c r="Q47" s="81" t="s">
        <v>51</v>
      </c>
      <c r="R47" s="2">
        <v>0.5</v>
      </c>
      <c r="S47" s="39"/>
      <c r="T47" s="96" t="s">
        <v>23</v>
      </c>
      <c r="U47" s="21">
        <v>1</v>
      </c>
      <c r="V47" s="35"/>
      <c r="W47" s="23" t="s">
        <v>44</v>
      </c>
      <c r="X47" s="83">
        <v>80</v>
      </c>
      <c r="Y47" s="35"/>
      <c r="Z47" s="81" t="s">
        <v>123</v>
      </c>
      <c r="AA47" s="2">
        <v>0.5</v>
      </c>
      <c r="AB47" s="41"/>
      <c r="AC47" s="23"/>
      <c r="AD47" s="23"/>
      <c r="AE47" s="187"/>
    </row>
    <row r="48" spans="1:31" ht="13.5" customHeight="1" x14ac:dyDescent="0.2">
      <c r="A48" s="35"/>
      <c r="B48" s="80" t="s">
        <v>24</v>
      </c>
      <c r="C48" s="5">
        <v>30</v>
      </c>
      <c r="D48" s="35"/>
      <c r="E48" s="23" t="s">
        <v>45</v>
      </c>
      <c r="F48" s="90">
        <v>0.5</v>
      </c>
      <c r="G48" s="35"/>
      <c r="H48" s="80"/>
      <c r="I48" s="99" t="str">
        <f>"( ≤ "&amp;Buck1_Imax&amp;" A )"</f>
        <v>( ≤ 2.5 A )</v>
      </c>
      <c r="J48" s="39"/>
      <c r="K48" s="80" t="s">
        <v>24</v>
      </c>
      <c r="L48" s="5">
        <v>30</v>
      </c>
      <c r="M48" s="35"/>
      <c r="N48" s="23" t="s">
        <v>45</v>
      </c>
      <c r="O48" s="90">
        <v>0.5</v>
      </c>
      <c r="P48" s="35"/>
      <c r="Q48" s="80"/>
      <c r="R48" s="99" t="str">
        <f>"( ≤ "&amp;Buck2_Imax&amp;" A )"</f>
        <v>( ≤ 2.5 A )</v>
      </c>
      <c r="S48" s="39"/>
      <c r="T48" s="80" t="s">
        <v>24</v>
      </c>
      <c r="U48" s="5">
        <v>30</v>
      </c>
      <c r="V48" s="35"/>
      <c r="W48" s="23" t="s">
        <v>45</v>
      </c>
      <c r="X48" s="90">
        <v>0.5</v>
      </c>
      <c r="Y48" s="35"/>
      <c r="Z48" s="81" t="s">
        <v>122</v>
      </c>
      <c r="AA48" s="142">
        <f>Ibuck3+IF(LDO3_in="Buck3",I_LDO3/1000,0)+IF(LDO4_in="Buck3",I_LDO4/1000,0)</f>
        <v>0.5</v>
      </c>
      <c r="AB48" s="41"/>
      <c r="AC48" s="23"/>
      <c r="AD48" s="23"/>
      <c r="AE48" s="187"/>
    </row>
    <row r="49" spans="1:28" ht="13.5" customHeight="1" x14ac:dyDescent="0.2">
      <c r="A49" s="35"/>
      <c r="B49" s="80"/>
      <c r="C49" s="92"/>
      <c r="D49" s="35"/>
      <c r="E49" s="23" t="s">
        <v>63</v>
      </c>
      <c r="F49" s="91">
        <v>5</v>
      </c>
      <c r="G49" s="35"/>
      <c r="H49" s="23"/>
      <c r="I49" s="23"/>
      <c r="J49" s="39"/>
      <c r="K49" s="80"/>
      <c r="L49" s="92"/>
      <c r="M49" s="35"/>
      <c r="N49" s="23" t="s">
        <v>63</v>
      </c>
      <c r="O49" s="91">
        <v>5</v>
      </c>
      <c r="P49" s="35"/>
      <c r="Q49" s="23"/>
      <c r="R49" s="23"/>
      <c r="S49" s="39"/>
      <c r="T49" s="80"/>
      <c r="U49" s="92"/>
      <c r="V49" s="35"/>
      <c r="W49" s="23" t="s">
        <v>63</v>
      </c>
      <c r="X49" s="91">
        <v>5</v>
      </c>
      <c r="Y49" s="35"/>
      <c r="Z49" s="23"/>
      <c r="AA49" s="99" t="str">
        <f>"( ≤ "&amp;Buck3_Imax&amp;" A )"</f>
        <v>( ≤ 2.5 A )</v>
      </c>
      <c r="AB49" s="41"/>
    </row>
    <row r="50" spans="1:28" ht="13.5" customHeight="1" x14ac:dyDescent="0.2">
      <c r="A50" s="35"/>
      <c r="B50" s="80"/>
      <c r="C50" s="92"/>
      <c r="D50" s="35"/>
      <c r="E50" s="23" t="s">
        <v>46</v>
      </c>
      <c r="F50" s="93">
        <v>5</v>
      </c>
      <c r="G50" s="35"/>
      <c r="H50" s="81" t="s">
        <v>4</v>
      </c>
      <c r="I50" s="280">
        <v>2220</v>
      </c>
      <c r="J50" s="39"/>
      <c r="K50" s="80"/>
      <c r="L50" s="92"/>
      <c r="M50" s="35"/>
      <c r="N50" s="23" t="s">
        <v>46</v>
      </c>
      <c r="O50" s="93">
        <v>5</v>
      </c>
      <c r="P50" s="35"/>
      <c r="Q50" s="81" t="s">
        <v>4</v>
      </c>
      <c r="R50" s="280">
        <v>2220</v>
      </c>
      <c r="S50" s="39"/>
      <c r="T50" s="80"/>
      <c r="U50" s="92"/>
      <c r="V50" s="35"/>
      <c r="W50" s="23" t="s">
        <v>46</v>
      </c>
      <c r="X50" s="93">
        <v>5</v>
      </c>
      <c r="Y50" s="35"/>
      <c r="Z50" s="81" t="s">
        <v>4</v>
      </c>
      <c r="AA50" s="280">
        <v>2220</v>
      </c>
      <c r="AB50" s="143"/>
    </row>
    <row r="51" spans="1:28" ht="3.75" customHeight="1" x14ac:dyDescent="0.2">
      <c r="A51" s="35"/>
      <c r="B51" s="80"/>
      <c r="C51" s="92"/>
      <c r="D51" s="35"/>
      <c r="E51" s="23"/>
      <c r="F51" s="91"/>
      <c r="G51" s="35"/>
      <c r="H51" s="80"/>
      <c r="I51" s="104"/>
      <c r="J51" s="39"/>
      <c r="K51" s="80"/>
      <c r="L51" s="92"/>
      <c r="M51" s="35"/>
      <c r="N51" s="23"/>
      <c r="O51" s="91"/>
      <c r="P51" s="35"/>
      <c r="Q51" s="80"/>
      <c r="R51" s="104"/>
      <c r="S51" s="39"/>
      <c r="T51" s="80"/>
      <c r="U51" s="92"/>
      <c r="V51" s="35"/>
      <c r="W51" s="23"/>
      <c r="X51" s="91"/>
      <c r="Y51" s="35"/>
      <c r="Z51" s="80"/>
      <c r="AA51" s="104"/>
      <c r="AB51" s="144"/>
    </row>
    <row r="52" spans="1:28" ht="3.75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145"/>
    </row>
    <row r="53" spans="1:28" ht="13.5" customHeight="1" x14ac:dyDescent="0.2">
      <c r="A53" s="35"/>
      <c r="B53" s="106"/>
      <c r="C53" s="107"/>
      <c r="D53" s="27"/>
      <c r="E53" s="106" t="s">
        <v>18</v>
      </c>
      <c r="F53" s="88">
        <f>(Buck1+Ibuck1*LS_Rdson_Buck1/1000)/(Vpre-Ibuck1*HS_Rdson_Buck1/1000+Ibuck1*LS_Rdson_Buck1/1000)</f>
        <v>0.31675874769797424</v>
      </c>
      <c r="G53" s="27"/>
      <c r="H53" s="106" t="s">
        <v>8</v>
      </c>
      <c r="I53" s="109">
        <f>IF(Ibuck1=0,0.0001,Buck1*Ibuck1)</f>
        <v>0.625</v>
      </c>
      <c r="J53" s="51"/>
      <c r="K53" s="106"/>
      <c r="L53" s="107"/>
      <c r="M53" s="27"/>
      <c r="N53" s="106" t="s">
        <v>18</v>
      </c>
      <c r="O53" s="88">
        <f>(Buck2+Ibuck2*LS_Rdson_Buck2/1000)/(Vpre-Ibuck2*HS_Rdson_Buck2/1000+Ibuck2*LS_Rdson_Buck2/1000)</f>
        <v>0.31675874769797424</v>
      </c>
      <c r="P53" s="27"/>
      <c r="Q53" s="106" t="s">
        <v>8</v>
      </c>
      <c r="R53" s="109">
        <f>IF(Ibuck2=0,0.0001,Buck2*Ibuck2)</f>
        <v>0.625</v>
      </c>
      <c r="S53" s="51"/>
      <c r="T53" s="106"/>
      <c r="U53" s="107"/>
      <c r="V53" s="27"/>
      <c r="W53" s="106" t="s">
        <v>18</v>
      </c>
      <c r="X53" s="88">
        <f>(Buck3+Ibuck3_tot*LS_Rdson_Buck3/1000)/(Vpre-Ibuck3_tot*HS_Rdson_Buck3/1000+Ibuck3_tot*LS_Rdson_Buck3/1000)</f>
        <v>0.82013505217925109</v>
      </c>
      <c r="Y53" s="27"/>
      <c r="Z53" s="106" t="s">
        <v>8</v>
      </c>
      <c r="AA53" s="109">
        <f>IF(Ibuck3_tot=0,0.0001,Buck3*Ibuck3_tot)</f>
        <v>1.65</v>
      </c>
      <c r="AB53" s="146"/>
    </row>
    <row r="54" spans="1:28" ht="3.75" customHeight="1" x14ac:dyDescent="0.2">
      <c r="A54" s="35"/>
      <c r="B54" s="23"/>
      <c r="C54" s="23"/>
      <c r="D54" s="23"/>
      <c r="E54" s="23"/>
      <c r="F54" s="23"/>
      <c r="G54" s="23"/>
      <c r="H54" s="23"/>
      <c r="I54" s="23"/>
      <c r="J54" s="36"/>
      <c r="K54" s="23"/>
      <c r="L54" s="23"/>
      <c r="M54" s="23"/>
      <c r="N54" s="23"/>
      <c r="O54" s="23"/>
      <c r="P54" s="23"/>
      <c r="Q54" s="23"/>
      <c r="R54" s="23"/>
      <c r="S54" s="36"/>
      <c r="T54" s="23"/>
      <c r="U54" s="23"/>
      <c r="V54" s="23"/>
      <c r="W54" s="23"/>
      <c r="X54" s="23"/>
      <c r="Y54" s="23"/>
      <c r="Z54" s="23"/>
      <c r="AA54" s="23"/>
      <c r="AB54" s="145"/>
    </row>
    <row r="55" spans="1:28" ht="13.5" customHeight="1" x14ac:dyDescent="0.2">
      <c r="A55" s="35"/>
      <c r="B55" s="106" t="s">
        <v>59</v>
      </c>
      <c r="C55" s="87">
        <f>Duty_Cycle_Buck1*Ibuck1^2*HS_Rdson_Buck1/1000</f>
        <v>1.0690607734806632E-2</v>
      </c>
      <c r="D55" s="23"/>
      <c r="E55" s="106" t="s">
        <v>5</v>
      </c>
      <c r="F55" s="87">
        <f>ESR_Cin_Buck1/1000*(Ibuck1*SQRT(Duty_Cycle_Buck1*((1-Duty_Cycle_Buck1)+(((1-Duty_Cycle_Buck1)*THS_sw_Buck1*Buck1/Ibuck1/L_Buck1/1000)^2/12))))^2</f>
        <v>5.4106142207700043E-4</v>
      </c>
      <c r="G55" s="23"/>
      <c r="H55" s="23"/>
      <c r="I55" s="23"/>
      <c r="J55" s="36"/>
      <c r="K55" s="106" t="s">
        <v>59</v>
      </c>
      <c r="L55" s="87">
        <f>IF(Ibuck2=0,0,Duty_Cycle_Buck2*Ibuck2^2*HS_Rdson_Buck2/1000)</f>
        <v>1.0690607734806632E-2</v>
      </c>
      <c r="M55" s="23"/>
      <c r="N55" s="106" t="s">
        <v>5</v>
      </c>
      <c r="O55" s="87">
        <f>IF(Ibuck2=0,0,ESR_Cin_Buck2/1000*(Ibuck2*SQRT(Duty_Cycle_Buck2*((1-Duty_Cycle_Buck2)+(((1-Duty_Cycle_Buck2)*THS_sw_Buck2*Buck2/Ibuck2/L_Buck2/1000)^2/12))))^2)</f>
        <v>5.4106142207700043E-4</v>
      </c>
      <c r="P55" s="23"/>
      <c r="Q55" s="23"/>
      <c r="R55" s="23"/>
      <c r="S55" s="36"/>
      <c r="T55" s="106" t="s">
        <v>59</v>
      </c>
      <c r="U55" s="87">
        <f>IF(Ibuck3_tot=0,0,Duty_Cycle_Buck3*Ibuck3_tot^2*HS_Rdson_Buck3/1000)</f>
        <v>2.7679558011049724E-2</v>
      </c>
      <c r="V55" s="23"/>
      <c r="W55" s="106" t="s">
        <v>5</v>
      </c>
      <c r="X55" s="87">
        <f>IF(Ibuck3_tot=0,0,ESR_Cin_Buck3/1000*(Ibuck3_tot*SQRT(Duty_Cycle_Buck3*((1-Duty_Cycle_Buck3)+(((1-Duty_Cycle_Buck3)*THS_sw_Buck3*Buck3/Ibuck3_tot/L_Buck3/1000)^2/12))))^2)</f>
        <v>3.687898904801922E-4</v>
      </c>
      <c r="Y55" s="23"/>
      <c r="Z55" s="23"/>
      <c r="AA55" s="23"/>
      <c r="AB55" s="145"/>
    </row>
    <row r="56" spans="1:28" ht="13.5" customHeight="1" x14ac:dyDescent="0.2">
      <c r="A56" s="35"/>
      <c r="B56" s="106" t="s">
        <v>60</v>
      </c>
      <c r="C56" s="87">
        <f>0.000001*Vpre*FSW_Buck1*Ibuck1*2*THS_sw_Buck1/2+0.000001*QHS_Buck1*GHS_Buck1*FSW_Buck1</f>
        <v>2.8304999999999997E-2</v>
      </c>
      <c r="D56" s="23"/>
      <c r="E56" s="106" t="s">
        <v>6</v>
      </c>
      <c r="F56" s="120">
        <f>ESR_Cout_Buck1/1000*(Delta_Il_Buck1/2/SQRT(3))^2</f>
        <v>1.3135311781083326E-4</v>
      </c>
      <c r="G56" s="23"/>
      <c r="H56" s="147"/>
      <c r="I56" s="23"/>
      <c r="J56" s="36"/>
      <c r="K56" s="106" t="s">
        <v>60</v>
      </c>
      <c r="L56" s="87">
        <f>IF(Ibuck2=0,0,0.000001*Vpre*FSW_Buck2*Ibuck2*2*THS_sw_Buck2/2+0.000001*QHS_Buck2*GHS_Buck2*FSW_Buck2)</f>
        <v>2.8304999999999997E-2</v>
      </c>
      <c r="M56" s="23"/>
      <c r="N56" s="106" t="s">
        <v>6</v>
      </c>
      <c r="O56" s="120">
        <f>IF(Ibuck2=0,0,ESR_Cout_Buck2/1000*(Delta_Il_Buck2/2/SQRT(3))^2)</f>
        <v>1.3135311781083326E-4</v>
      </c>
      <c r="P56" s="23"/>
      <c r="Q56" s="23"/>
      <c r="R56" s="23"/>
      <c r="S56" s="36"/>
      <c r="T56" s="106" t="s">
        <v>60</v>
      </c>
      <c r="U56" s="87">
        <f>IF(Ibuck3_tot=0,0,0.000001*Vpre*FSW_Buck3*Ibuck3_tot*2*THS_sw_Buck3/2+0.000001*QHS_Buck3*GHS_Buck3*FSW_Buck3)</f>
        <v>2.8304999999999997E-2</v>
      </c>
      <c r="V56" s="23"/>
      <c r="W56" s="106" t="s">
        <v>6</v>
      </c>
      <c r="X56" s="120">
        <f>IF(Ibuck3_tot=0,0,ESR_Cout_Buck3/1000*(Delta_IL_Buck3/2/SQRT(3))^2)</f>
        <v>6.1023738562092108E-5</v>
      </c>
      <c r="Y56" s="23"/>
      <c r="Z56" s="23"/>
      <c r="AA56" s="23"/>
      <c r="AB56" s="145"/>
    </row>
    <row r="57" spans="1:28" ht="13.5" customHeight="1" x14ac:dyDescent="0.2">
      <c r="A57" s="35"/>
      <c r="B57" s="106" t="s">
        <v>61</v>
      </c>
      <c r="C57" s="87">
        <f>(1-Duty_Cycle_Buck1)*Ibuck1^2*LS_Rdson_Buck1/1000</f>
        <v>1.3664825046040514E-2</v>
      </c>
      <c r="D57" s="23"/>
      <c r="E57" s="106" t="s">
        <v>7</v>
      </c>
      <c r="F57" s="87">
        <f>DCR_L_Buck1/1000*(Ibuck1^2+Delta_Il_Buck1^2/12)</f>
        <v>7.8940593534325004E-3</v>
      </c>
      <c r="G57" s="23"/>
      <c r="H57" s="23"/>
      <c r="I57" s="23"/>
      <c r="J57" s="36"/>
      <c r="K57" s="106" t="s">
        <v>61</v>
      </c>
      <c r="L57" s="87">
        <f>IF(Ibuck2=0,0,(1-Duty_Cycle_Buck2)*Ibuck2^2*LS_Rdson_Buck2/1000)</f>
        <v>1.3664825046040514E-2</v>
      </c>
      <c r="M57" s="23"/>
      <c r="N57" s="106" t="s">
        <v>7</v>
      </c>
      <c r="O57" s="87">
        <f>IF(Ibuck2=0,0,DCR_L_Buck2/1000*(Ibuck2^2+Delta_Il_Buck2^2/12))</f>
        <v>7.8940593534325004E-3</v>
      </c>
      <c r="P57" s="23"/>
      <c r="Q57" s="23"/>
      <c r="R57" s="23"/>
      <c r="S57" s="36"/>
      <c r="T57" s="106" t="s">
        <v>61</v>
      </c>
      <c r="U57" s="87">
        <f>IF(Ibuck3_tot=0,0,(1-Duty_Cycle_Buck3)*Ibuck3_tot^2*LS_Rdson_Buck3/1000)</f>
        <v>3.5972989564149781E-3</v>
      </c>
      <c r="V57" s="23"/>
      <c r="W57" s="106" t="s">
        <v>7</v>
      </c>
      <c r="X57" s="87">
        <f>IF(Ibuck3_tot=0,0,DCR_L_Buck3/1000*(Ibuck3_tot^2+Delta_IL_Buck3^2/12))</f>
        <v>7.6830712156862758E-3</v>
      </c>
      <c r="Y57" s="23"/>
      <c r="Z57" s="23"/>
      <c r="AA57" s="23"/>
      <c r="AB57" s="145"/>
    </row>
    <row r="58" spans="1:28" ht="13.5" customHeight="1" x14ac:dyDescent="0.2">
      <c r="A58" s="35"/>
      <c r="B58" s="106" t="s">
        <v>62</v>
      </c>
      <c r="C58" s="87">
        <f>0.000001*Buck1*FSW_Buck1*Ibuck1*2*TLS_sw_Buck1/2+0.000001*QLS_Buck1*GLS_Buck1*FSW_Buck1</f>
        <v>1.2487499999999999E-2</v>
      </c>
      <c r="D58" s="23"/>
      <c r="E58" s="106"/>
      <c r="F58" s="126"/>
      <c r="G58" s="23"/>
      <c r="H58" s="23"/>
      <c r="I58" s="23"/>
      <c r="J58" s="36"/>
      <c r="K58" s="106" t="s">
        <v>62</v>
      </c>
      <c r="L58" s="87">
        <f>IF(Ibuck2=0,0,0.000001*Buck2*FSW_Buck2*Ibuck2*2*TLS_sw_Buck2/2+0.000001*QLS_Buck2*GLS_Buck2*FSW_Buck2)</f>
        <v>1.2487499999999999E-2</v>
      </c>
      <c r="M58" s="23"/>
      <c r="N58" s="106"/>
      <c r="O58" s="126"/>
      <c r="P58" s="23"/>
      <c r="Q58" s="23"/>
      <c r="R58" s="23"/>
      <c r="S58" s="36"/>
      <c r="T58" s="106" t="s">
        <v>62</v>
      </c>
      <c r="U58" s="87">
        <f>IF(Ibuck3_tot=0,0,0.000001*Buck3*FSW_Buck3*Ibuck3_tot*2*TLS_sw_Buck3/2+0.000001*QLS_Buck3*GLS_Buck3*FSW_Buck3)</f>
        <v>2.3864999999999997E-2</v>
      </c>
      <c r="V58" s="23"/>
      <c r="W58" s="106"/>
      <c r="X58" s="126"/>
      <c r="Y58" s="23"/>
      <c r="Z58" s="23"/>
      <c r="AA58" s="23"/>
      <c r="AB58" s="145"/>
    </row>
    <row r="59" spans="1:28" ht="3.75" customHeight="1" thickBot="1" x14ac:dyDescent="0.25">
      <c r="A59" s="35"/>
      <c r="B59" s="106"/>
      <c r="C59" s="23"/>
      <c r="D59" s="23"/>
      <c r="E59" s="106"/>
      <c r="F59" s="129"/>
      <c r="G59" s="23"/>
      <c r="H59" s="23"/>
      <c r="I59" s="23"/>
      <c r="J59" s="36"/>
      <c r="K59" s="106"/>
      <c r="L59" s="23"/>
      <c r="M59" s="23"/>
      <c r="N59" s="106"/>
      <c r="O59" s="129"/>
      <c r="P59" s="23"/>
      <c r="Q59" s="23"/>
      <c r="R59" s="23"/>
      <c r="S59" s="36"/>
      <c r="T59" s="106"/>
      <c r="U59" s="23"/>
      <c r="V59" s="23"/>
      <c r="W59" s="106"/>
      <c r="X59" s="129"/>
      <c r="Y59" s="23"/>
      <c r="Z59" s="23"/>
      <c r="AA59" s="23"/>
      <c r="AB59" s="145"/>
    </row>
    <row r="60" spans="1:28" ht="13.5" customHeight="1" thickBot="1" x14ac:dyDescent="0.25">
      <c r="A60" s="35"/>
      <c r="B60" s="106" t="s">
        <v>9</v>
      </c>
      <c r="C60" s="87">
        <f>P_LS_sw_Buck1+P_LS_Cond_Buck1+P_HS_sw_Buck1+P_HS_Cond_Buck1+P_Cin_Buck1+P_Cout_Buck1+P_L_Buck1</f>
        <v>7.3714406674167468E-2</v>
      </c>
      <c r="D60" s="23"/>
      <c r="E60" s="132" t="s">
        <v>11</v>
      </c>
      <c r="F60" s="97">
        <f>1000*(Vpre-Buck1-HS_Rdson_Buck1*Ibuck1/1000)*Duty_Cycle_Buck1/FSW_Buck1/L_Buck1</f>
        <v>0.39701856552685277</v>
      </c>
      <c r="G60" s="23"/>
      <c r="H60" s="133" t="str">
        <f>IF(Ibuck1&gt;Delta_Il_Buck1/2,"CCM","DCM")</f>
        <v>CCM</v>
      </c>
      <c r="I60" s="23"/>
      <c r="J60" s="36"/>
      <c r="K60" s="106" t="s">
        <v>9</v>
      </c>
      <c r="L60" s="87">
        <f>P_LS_sw_Buck2+P_LS_cond_Buck2+P_HS_sw_Buck2+P_HS_cond_Buck2+P_Cin_Buck2+P_Cout_Buck2+P_L_Buck2</f>
        <v>7.3714406674167468E-2</v>
      </c>
      <c r="M60" s="23"/>
      <c r="N60" s="132" t="s">
        <v>11</v>
      </c>
      <c r="O60" s="97">
        <f>IF(Ibuck2=0,0,1000*(Vpre-Buck2-HS_Rdson_Buck2*Ibuck2/1000)*Duty_Cycle_Buck2/FSW_Buck2/L_Buck2)</f>
        <v>0.39701856552685277</v>
      </c>
      <c r="P60" s="23"/>
      <c r="Q60" s="133" t="str">
        <f>IF(Ibuck2&gt;Delta_Il_Buck2/2,"CCM","DCM")</f>
        <v>CCM</v>
      </c>
      <c r="R60" s="23"/>
      <c r="S60" s="36"/>
      <c r="T60" s="106" t="s">
        <v>9</v>
      </c>
      <c r="U60" s="87">
        <f>P_LS_sw_Buck3+P_LS_cond_Buck3+P_HS_sw_Buck3+P_HS_cond_Buck3+P_Cin_Buck3+P_Cout_Buck3+P_L_Buck3</f>
        <v>9.1559741812193257E-2</v>
      </c>
      <c r="V60" s="23"/>
      <c r="W60" s="132" t="s">
        <v>11</v>
      </c>
      <c r="X60" s="97">
        <f>IF(Ibuck3_tot=0,0,1000*(Vpre-Buck3-HS_Rdson_Buck3*Ibuck3_tot/1000)*Duty_Cycle_Buck3/FSW_Buck3/L_Buck3)</f>
        <v>0.27060762419878437</v>
      </c>
      <c r="Y60" s="23"/>
      <c r="Z60" s="133" t="str">
        <f>IF(Ibuck3_tot&gt;Delta_IL_Buck3/2,"CCM","DCM")</f>
        <v>CCM</v>
      </c>
      <c r="AA60" s="23"/>
      <c r="AB60" s="145"/>
    </row>
    <row r="61" spans="1:28" ht="13.5" customHeight="1" x14ac:dyDescent="0.2">
      <c r="A61" s="35"/>
      <c r="B61" s="106" t="s">
        <v>10</v>
      </c>
      <c r="C61" s="87">
        <f>P_LS_sw_Buck1+P_LS_Cond_Buck1+P_HS_sw_Buck1+P_HS_Cond_Buck1</f>
        <v>6.5147932780847143E-2</v>
      </c>
      <c r="D61" s="23"/>
      <c r="E61" s="106" t="s">
        <v>3</v>
      </c>
      <c r="F61" s="97">
        <f>(Ibuck1)+Delta_Il_Buck1/2</f>
        <v>0.69850928276342639</v>
      </c>
      <c r="G61" s="23"/>
      <c r="H61" s="23"/>
      <c r="I61" s="23"/>
      <c r="J61" s="36"/>
      <c r="K61" s="106" t="s">
        <v>10</v>
      </c>
      <c r="L61" s="87">
        <f>P_LS_sw_Buck2+P_LS_cond_Buck2+P_HS_sw_Buck2+P_HS_cond_Buck2</f>
        <v>6.5147932780847143E-2</v>
      </c>
      <c r="M61" s="23"/>
      <c r="N61" s="106" t="s">
        <v>3</v>
      </c>
      <c r="O61" s="97">
        <f>(Ibuck2)+Delta_Il_Buck2/2</f>
        <v>0.69850928276342639</v>
      </c>
      <c r="P61" s="23"/>
      <c r="Q61" s="23"/>
      <c r="R61" s="23"/>
      <c r="S61" s="36"/>
      <c r="T61" s="106" t="s">
        <v>10</v>
      </c>
      <c r="U61" s="87">
        <f>P_LS_sw_Buck3+P_LS_cond_Buck3+P_HS_sw_Buck3+P_HS_cond_Buck3</f>
        <v>8.3446856967464692E-2</v>
      </c>
      <c r="V61" s="23"/>
      <c r="W61" s="106" t="s">
        <v>3</v>
      </c>
      <c r="X61" s="97">
        <f>(Ibuck3_tot)+Delta_IL_Buck3/2</f>
        <v>0.63530381209939213</v>
      </c>
      <c r="Y61" s="23"/>
      <c r="Z61" s="23"/>
      <c r="AA61" s="23"/>
      <c r="AB61" s="145"/>
    </row>
    <row r="62" spans="1:28" ht="13.5" customHeight="1" x14ac:dyDescent="0.2">
      <c r="A62" s="35"/>
      <c r="B62" s="138" t="s">
        <v>66</v>
      </c>
      <c r="C62" s="88">
        <f>Pout_Buck1/(Pout_Buck1+Pdis_tot_Buck1)</f>
        <v>0.89449994737471783</v>
      </c>
      <c r="D62" s="23"/>
      <c r="E62" s="106" t="s">
        <v>17</v>
      </c>
      <c r="F62" s="139">
        <f>1000*(Vpre*Duty_Cycle_Buck1*(1-Duty_Cycle_Buck1)/(8*L_Buck1*Cout_Buck1*FSW_Buck1^2)*1000000+ESR_Cout_Buck1/1000*Delta_Il_Buck1)</f>
        <v>4.5328256843376851</v>
      </c>
      <c r="G62" s="23"/>
      <c r="H62" s="23"/>
      <c r="I62" s="23"/>
      <c r="J62" s="36"/>
      <c r="K62" s="138" t="s">
        <v>67</v>
      </c>
      <c r="L62" s="88">
        <f>Pout_Buck2/(Pout_Buck2+Pdis_tot_Buck2)</f>
        <v>0.89449994737471783</v>
      </c>
      <c r="M62" s="23"/>
      <c r="N62" s="106" t="s">
        <v>17</v>
      </c>
      <c r="O62" s="139">
        <f>IF(Ibuck2=0,0,1000*(Vpre*Duty_Cycle_Buck2*(1-Duty_Cycle_Buck2)/(8*L_Buck2*Cout_Buck2*FSW_Buck2^2)*1000000+ESR_Cout_Buck2/1000*Delta_Il_Buck2))</f>
        <v>4.5328256843376851</v>
      </c>
      <c r="P62" s="23"/>
      <c r="Q62" s="23"/>
      <c r="R62" s="23"/>
      <c r="S62" s="36"/>
      <c r="T62" s="138" t="s">
        <v>68</v>
      </c>
      <c r="U62" s="88">
        <f>Pout_Buck3/(Pout_Buck3+Pdis_tot_Buck3)</f>
        <v>0.9474265857128048</v>
      </c>
      <c r="V62" s="23"/>
      <c r="W62" s="106" t="s">
        <v>17</v>
      </c>
      <c r="X62" s="139">
        <f>IF(Ibuck3_tot=0,0,1000*(Vpre*Duty_Cycle_Buck3*(1-Duty_Cycle_Buck3)/(8*L_Buck3*Cout_Buck3*FSW_Buck3^2)*1000000+ESR_Cout_Buck3/1000*Delta_IL_Buck3))</f>
        <v>3.0895713597627377</v>
      </c>
      <c r="Y62" s="23"/>
      <c r="Z62" s="23"/>
      <c r="AA62" s="23"/>
      <c r="AB62" s="145"/>
    </row>
    <row r="63" spans="1:28" ht="3.75" customHeight="1" x14ac:dyDescent="0.2">
      <c r="A63" s="35"/>
      <c r="B63" s="138"/>
      <c r="C63" s="88"/>
      <c r="D63" s="23"/>
      <c r="E63" s="106"/>
      <c r="F63" s="139"/>
      <c r="G63" s="23"/>
      <c r="H63" s="23"/>
      <c r="I63" s="23"/>
      <c r="J63" s="36"/>
      <c r="K63" s="138"/>
      <c r="L63" s="88"/>
      <c r="M63" s="23"/>
      <c r="N63" s="106"/>
      <c r="O63" s="139"/>
      <c r="P63" s="23"/>
      <c r="Q63" s="23"/>
      <c r="R63" s="23"/>
      <c r="S63" s="36"/>
      <c r="T63" s="138"/>
      <c r="U63" s="88"/>
      <c r="V63" s="23"/>
      <c r="W63" s="106"/>
      <c r="X63" s="139"/>
      <c r="Y63" s="23"/>
      <c r="Z63" s="23"/>
      <c r="AA63" s="23"/>
      <c r="AB63" s="145"/>
    </row>
    <row r="64" spans="1:28" ht="3.75" customHeight="1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148"/>
    </row>
    <row r="65" ht="3.75" customHeight="1" x14ac:dyDescent="0.2"/>
    <row r="123" spans="2:3" hidden="1" x14ac:dyDescent="0.2">
      <c r="B123" s="294" t="s">
        <v>215</v>
      </c>
      <c r="C123" s="201">
        <v>455</v>
      </c>
    </row>
    <row r="124" spans="2:3" hidden="1" x14ac:dyDescent="0.2">
      <c r="B124" s="296"/>
      <c r="C124" s="201">
        <v>2220</v>
      </c>
    </row>
    <row r="125" spans="2:3" hidden="1" x14ac:dyDescent="0.2">
      <c r="B125" s="294" t="s">
        <v>216</v>
      </c>
      <c r="C125" s="201">
        <v>3.3</v>
      </c>
    </row>
    <row r="126" spans="2:3" hidden="1" x14ac:dyDescent="0.2">
      <c r="B126" s="294"/>
      <c r="C126" s="278">
        <v>3.8</v>
      </c>
    </row>
    <row r="127" spans="2:3" hidden="1" x14ac:dyDescent="0.2">
      <c r="B127" s="296"/>
      <c r="C127" s="201">
        <v>4.0999999999999996</v>
      </c>
    </row>
    <row r="128" spans="2:3" hidden="1" x14ac:dyDescent="0.2">
      <c r="B128" s="296"/>
      <c r="C128" s="201">
        <v>5</v>
      </c>
    </row>
    <row r="129" spans="2:3" hidden="1" x14ac:dyDescent="0.2">
      <c r="B129" s="294" t="s">
        <v>231</v>
      </c>
      <c r="C129" s="201">
        <v>130</v>
      </c>
    </row>
    <row r="130" spans="2:3" hidden="1" x14ac:dyDescent="0.2">
      <c r="B130" s="294"/>
      <c r="C130" s="201">
        <v>260</v>
      </c>
    </row>
    <row r="131" spans="2:3" hidden="1" x14ac:dyDescent="0.2">
      <c r="B131" s="294"/>
      <c r="C131" s="201">
        <v>520</v>
      </c>
    </row>
    <row r="132" spans="2:3" hidden="1" x14ac:dyDescent="0.2">
      <c r="B132" s="294"/>
      <c r="C132" s="200">
        <v>900</v>
      </c>
    </row>
    <row r="133" spans="2:3" hidden="1" x14ac:dyDescent="0.2">
      <c r="B133" s="289" t="s">
        <v>217</v>
      </c>
      <c r="C133" s="201">
        <v>5</v>
      </c>
    </row>
    <row r="134" spans="2:3" hidden="1" x14ac:dyDescent="0.2">
      <c r="B134" s="297"/>
      <c r="C134" s="201">
        <v>5.74</v>
      </c>
    </row>
    <row r="135" spans="2:3" hidden="1" x14ac:dyDescent="0.2">
      <c r="B135" s="299" t="s">
        <v>244</v>
      </c>
      <c r="C135" s="203">
        <v>300</v>
      </c>
    </row>
    <row r="136" spans="2:3" hidden="1" x14ac:dyDescent="0.2">
      <c r="B136" s="297"/>
      <c r="C136" s="203">
        <v>500</v>
      </c>
    </row>
    <row r="137" spans="2:3" hidden="1" x14ac:dyDescent="0.2">
      <c r="B137" s="298" t="s">
        <v>222</v>
      </c>
      <c r="C137" s="201" t="s">
        <v>14</v>
      </c>
    </row>
    <row r="138" spans="2:3" hidden="1" x14ac:dyDescent="0.2">
      <c r="B138" s="290"/>
      <c r="C138" s="279" t="s">
        <v>55</v>
      </c>
    </row>
    <row r="139" spans="2:3" hidden="1" x14ac:dyDescent="0.2">
      <c r="B139" s="291"/>
      <c r="C139" s="201" t="s">
        <v>52</v>
      </c>
    </row>
    <row r="140" spans="2:3" hidden="1" x14ac:dyDescent="0.2">
      <c r="B140" s="289" t="s">
        <v>223</v>
      </c>
      <c r="C140" s="201">
        <v>1.1000000000000001</v>
      </c>
    </row>
    <row r="141" spans="2:3" hidden="1" x14ac:dyDescent="0.2">
      <c r="B141" s="290"/>
      <c r="C141" s="201">
        <v>1.2</v>
      </c>
    </row>
    <row r="142" spans="2:3" hidden="1" x14ac:dyDescent="0.2">
      <c r="B142" s="290"/>
      <c r="C142" s="201">
        <v>1.6</v>
      </c>
    </row>
    <row r="143" spans="2:3" hidden="1" x14ac:dyDescent="0.2">
      <c r="B143" s="290"/>
      <c r="C143" s="201">
        <v>1.8</v>
      </c>
    </row>
    <row r="144" spans="2:3" hidden="1" x14ac:dyDescent="0.2">
      <c r="B144" s="290"/>
      <c r="C144" s="201">
        <v>2.5</v>
      </c>
    </row>
    <row r="145" spans="2:3" hidden="1" x14ac:dyDescent="0.2">
      <c r="B145" s="290"/>
      <c r="C145" s="201">
        <v>2.8</v>
      </c>
    </row>
    <row r="146" spans="2:3" hidden="1" x14ac:dyDescent="0.2">
      <c r="B146" s="290"/>
      <c r="C146" s="201">
        <v>3.3</v>
      </c>
    </row>
    <row r="147" spans="2:3" hidden="1" x14ac:dyDescent="0.2">
      <c r="B147" s="291"/>
      <c r="C147" s="201">
        <v>5</v>
      </c>
    </row>
    <row r="148" spans="2:3" hidden="1" x14ac:dyDescent="0.2">
      <c r="B148" s="292" t="s">
        <v>224</v>
      </c>
      <c r="C148" s="201">
        <v>0.8</v>
      </c>
    </row>
    <row r="149" spans="2:3" hidden="1" x14ac:dyDescent="0.2">
      <c r="B149" s="293"/>
      <c r="C149" s="201">
        <v>0.9</v>
      </c>
    </row>
    <row r="150" spans="2:3" hidden="1" x14ac:dyDescent="0.2">
      <c r="B150" s="293"/>
      <c r="C150" s="201">
        <v>1</v>
      </c>
    </row>
    <row r="151" spans="2:3" hidden="1" x14ac:dyDescent="0.2">
      <c r="B151" s="293"/>
      <c r="C151" s="278">
        <v>1.0249999999999999</v>
      </c>
    </row>
    <row r="152" spans="2:3" hidden="1" x14ac:dyDescent="0.2">
      <c r="B152" s="293"/>
      <c r="C152" s="278">
        <v>1.03125</v>
      </c>
    </row>
    <row r="153" spans="2:3" hidden="1" x14ac:dyDescent="0.2">
      <c r="B153" s="293"/>
      <c r="C153" s="201">
        <v>1.1000000000000001</v>
      </c>
    </row>
    <row r="154" spans="2:3" hidden="1" x14ac:dyDescent="0.2">
      <c r="B154" s="293"/>
      <c r="C154" s="201">
        <v>1.2</v>
      </c>
    </row>
    <row r="155" spans="2:3" hidden="1" x14ac:dyDescent="0.2">
      <c r="B155" s="293"/>
      <c r="C155" s="201">
        <v>1.25</v>
      </c>
    </row>
    <row r="156" spans="2:3" hidden="1" x14ac:dyDescent="0.2">
      <c r="B156" s="293"/>
      <c r="C156" s="201">
        <v>1.3</v>
      </c>
    </row>
    <row r="157" spans="2:3" hidden="1" x14ac:dyDescent="0.2">
      <c r="B157" s="293"/>
      <c r="C157" s="201">
        <v>1.35</v>
      </c>
    </row>
    <row r="158" spans="2:3" hidden="1" x14ac:dyDescent="0.2">
      <c r="B158" s="293"/>
      <c r="C158" s="201">
        <v>1.4</v>
      </c>
    </row>
    <row r="159" spans="2:3" hidden="1" x14ac:dyDescent="0.2">
      <c r="B159" s="293"/>
      <c r="C159" s="201">
        <v>1.5</v>
      </c>
    </row>
    <row r="160" spans="2:3" hidden="1" x14ac:dyDescent="0.2">
      <c r="B160" s="293"/>
      <c r="C160" s="201">
        <v>1.8</v>
      </c>
    </row>
    <row r="161" spans="2:3" hidden="1" x14ac:dyDescent="0.2">
      <c r="B161" s="294" t="s">
        <v>225</v>
      </c>
      <c r="C161" s="200">
        <v>1</v>
      </c>
    </row>
    <row r="162" spans="2:3" hidden="1" x14ac:dyDescent="0.2">
      <c r="B162" s="294"/>
      <c r="C162" s="200">
        <v>1.1000000000000001</v>
      </c>
    </row>
    <row r="163" spans="2:3" hidden="1" x14ac:dyDescent="0.2">
      <c r="B163" s="294"/>
      <c r="C163" s="200">
        <v>1.2</v>
      </c>
    </row>
    <row r="164" spans="2:3" hidden="1" x14ac:dyDescent="0.2">
      <c r="B164" s="294"/>
      <c r="C164" s="200">
        <v>1.25</v>
      </c>
    </row>
    <row r="165" spans="2:3" hidden="1" x14ac:dyDescent="0.2">
      <c r="B165" s="294"/>
      <c r="C165" s="200">
        <v>1.3</v>
      </c>
    </row>
    <row r="166" spans="2:3" hidden="1" x14ac:dyDescent="0.2">
      <c r="B166" s="294"/>
      <c r="C166" s="200">
        <v>1.35</v>
      </c>
    </row>
    <row r="167" spans="2:3" hidden="1" x14ac:dyDescent="0.2">
      <c r="B167" s="294"/>
      <c r="C167" s="200">
        <v>1.5</v>
      </c>
    </row>
    <row r="168" spans="2:3" hidden="1" x14ac:dyDescent="0.2">
      <c r="B168" s="294"/>
      <c r="C168" s="200">
        <v>1.6</v>
      </c>
    </row>
    <row r="169" spans="2:3" hidden="1" x14ac:dyDescent="0.2">
      <c r="B169" s="294"/>
      <c r="C169" s="200">
        <v>1.8</v>
      </c>
    </row>
    <row r="170" spans="2:3" hidden="1" x14ac:dyDescent="0.2">
      <c r="B170" s="294"/>
      <c r="C170" s="200">
        <v>2.2999999999999998</v>
      </c>
    </row>
    <row r="171" spans="2:3" hidden="1" x14ac:dyDescent="0.2">
      <c r="B171" s="294"/>
      <c r="C171" s="200">
        <v>2.5</v>
      </c>
    </row>
    <row r="172" spans="2:3" hidden="1" x14ac:dyDescent="0.2">
      <c r="B172" s="294"/>
      <c r="C172" s="200">
        <v>2.8</v>
      </c>
    </row>
    <row r="173" spans="2:3" hidden="1" x14ac:dyDescent="0.2">
      <c r="B173" s="294"/>
      <c r="C173" s="200">
        <v>3.3</v>
      </c>
    </row>
  </sheetData>
  <sheetProtection selectLockedCells="1"/>
  <dataConsolidate/>
  <mergeCells count="36">
    <mergeCell ref="Q10:R10"/>
    <mergeCell ref="A1:N1"/>
    <mergeCell ref="O1:AD1"/>
    <mergeCell ref="B3:C3"/>
    <mergeCell ref="B4:C4"/>
    <mergeCell ref="B8:I8"/>
    <mergeCell ref="K8:R8"/>
    <mergeCell ref="T8:U8"/>
    <mergeCell ref="W8:X8"/>
    <mergeCell ref="Z8:AC8"/>
    <mergeCell ref="B10:C10"/>
    <mergeCell ref="E10:F10"/>
    <mergeCell ref="H10:I10"/>
    <mergeCell ref="K10:L10"/>
    <mergeCell ref="N10:O10"/>
    <mergeCell ref="B40:I40"/>
    <mergeCell ref="K40:R40"/>
    <mergeCell ref="T40:AA40"/>
    <mergeCell ref="B42:C42"/>
    <mergeCell ref="E42:F42"/>
    <mergeCell ref="H42:I42"/>
    <mergeCell ref="K42:L42"/>
    <mergeCell ref="N42:O42"/>
    <mergeCell ref="Q42:R42"/>
    <mergeCell ref="T42:U42"/>
    <mergeCell ref="Z42:AA42"/>
    <mergeCell ref="B140:B147"/>
    <mergeCell ref="B148:B160"/>
    <mergeCell ref="B161:B173"/>
    <mergeCell ref="W42:X42"/>
    <mergeCell ref="B123:B124"/>
    <mergeCell ref="B125:B128"/>
    <mergeCell ref="B129:B132"/>
    <mergeCell ref="B133:B134"/>
    <mergeCell ref="B137:B139"/>
    <mergeCell ref="B135:B136"/>
  </mergeCells>
  <conditionalFormatting sqref="H35">
    <cfRule type="cellIs" dxfId="41" priority="37" operator="equal">
      <formula>"DCM"</formula>
    </cfRule>
    <cfRule type="cellIs" dxfId="40" priority="38" operator="equal">
      <formula>"CCM"</formula>
    </cfRule>
  </conditionalFormatting>
  <conditionalFormatting sqref="H60">
    <cfRule type="cellIs" dxfId="39" priority="35" operator="equal">
      <formula>"DCM"</formula>
    </cfRule>
    <cfRule type="cellIs" dxfId="38" priority="36" operator="equal">
      <formula>"CCM"</formula>
    </cfRule>
  </conditionalFormatting>
  <conditionalFormatting sqref="Q60">
    <cfRule type="cellIs" dxfId="37" priority="33" operator="equal">
      <formula>"DCM"</formula>
    </cfRule>
    <cfRule type="cellIs" dxfId="36" priority="34" operator="equal">
      <formula>"CCM"</formula>
    </cfRule>
  </conditionalFormatting>
  <conditionalFormatting sqref="Z60">
    <cfRule type="cellIs" dxfId="35" priority="31" operator="equal">
      <formula>"DCM"</formula>
    </cfRule>
    <cfRule type="cellIs" dxfId="34" priority="32" operator="equal">
      <formula>"CCM"</formula>
    </cfRule>
  </conditionalFormatting>
  <conditionalFormatting sqref="Q35">
    <cfRule type="cellIs" dxfId="33" priority="29" operator="equal">
      <formula>"DCM"</formula>
    </cfRule>
    <cfRule type="cellIs" dxfId="32" priority="30" operator="equal">
      <formula>"CCM"</formula>
    </cfRule>
  </conditionalFormatting>
  <conditionalFormatting sqref="I13">
    <cfRule type="cellIs" dxfId="31" priority="27" operator="lessThan">
      <formula>3</formula>
    </cfRule>
    <cfRule type="cellIs" dxfId="30" priority="28" operator="greaterThan">
      <formula>"5.5V"</formula>
    </cfRule>
  </conditionalFormatting>
  <conditionalFormatting sqref="U13 X13">
    <cfRule type="cellIs" dxfId="29" priority="26" operator="greaterThan">
      <formula>400</formula>
    </cfRule>
  </conditionalFormatting>
  <conditionalFormatting sqref="R16">
    <cfRule type="cellIs" dxfId="28" priority="25" operator="greaterThan">
      <formula>800</formula>
    </cfRule>
  </conditionalFormatting>
  <conditionalFormatting sqref="I47">
    <cfRule type="cellIs" dxfId="27" priority="14" operator="equal">
      <formula>0</formula>
    </cfRule>
    <cfRule type="cellIs" dxfId="26" priority="23" operator="greaterThan">
      <formula>$F$4</formula>
    </cfRule>
  </conditionalFormatting>
  <conditionalFormatting sqref="R47">
    <cfRule type="cellIs" dxfId="25" priority="22" operator="greaterThan">
      <formula>$F$4</formula>
    </cfRule>
  </conditionalFormatting>
  <conditionalFormatting sqref="AA47">
    <cfRule type="cellIs" dxfId="24" priority="21" operator="greaterThan">
      <formula>$F$4</formula>
    </cfRule>
  </conditionalFormatting>
  <conditionalFormatting sqref="I45">
    <cfRule type="cellIs" dxfId="23" priority="19" operator="lessThan">
      <formula>0.8</formula>
    </cfRule>
    <cfRule type="cellIs" dxfId="22" priority="20" operator="greaterThan">
      <formula>1.8</formula>
    </cfRule>
  </conditionalFormatting>
  <conditionalFormatting sqref="R45">
    <cfRule type="cellIs" dxfId="21" priority="17" operator="lessThan">
      <formula>0.8</formula>
    </cfRule>
    <cfRule type="cellIs" dxfId="20" priority="18" operator="greaterThan">
      <formula>1.8</formula>
    </cfRule>
  </conditionalFormatting>
  <conditionalFormatting sqref="AA45">
    <cfRule type="expression" dxfId="19" priority="9">
      <formula>$X$53&gt;1</formula>
    </cfRule>
    <cfRule type="cellIs" dxfId="18" priority="15" operator="lessThan">
      <formula>1.2</formula>
    </cfRule>
    <cfRule type="cellIs" dxfId="17" priority="16" operator="greaterThan">
      <formula>5</formula>
    </cfRule>
  </conditionalFormatting>
  <conditionalFormatting sqref="AA35">
    <cfRule type="cellIs" dxfId="16" priority="39" operator="lessThan">
      <formula>$T$4</formula>
    </cfRule>
  </conditionalFormatting>
  <conditionalFormatting sqref="AA48">
    <cfRule type="cellIs" dxfId="15" priority="13" operator="greaterThan">
      <formula>$F$4</formula>
    </cfRule>
  </conditionalFormatting>
  <conditionalFormatting sqref="R14">
    <cfRule type="expression" dxfId="14" priority="12">
      <formula>$O$36&gt;1.5</formula>
    </cfRule>
  </conditionalFormatting>
  <conditionalFormatting sqref="O36">
    <cfRule type="cellIs" dxfId="13" priority="8" operator="greaterThan">
      <formula>1.5</formula>
    </cfRule>
  </conditionalFormatting>
  <conditionalFormatting sqref="F25">
    <cfRule type="cellIs" dxfId="12" priority="7" operator="greaterThan">
      <formula>800</formula>
    </cfRule>
  </conditionalFormatting>
  <conditionalFormatting sqref="R17">
    <cfRule type="cellIs" dxfId="11" priority="6" operator="greaterThan">
      <formula>800</formula>
    </cfRule>
  </conditionalFormatting>
  <conditionalFormatting sqref="R18">
    <cfRule type="cellIs" dxfId="10" priority="5" operator="greaterThan">
      <formula>800</formula>
    </cfRule>
  </conditionalFormatting>
  <conditionalFormatting sqref="I17">
    <cfRule type="cellIs" dxfId="9" priority="4" operator="greaterThan">
      <formula>$E$4</formula>
    </cfRule>
  </conditionalFormatting>
  <conditionalFormatting sqref="U11">
    <cfRule type="expression" dxfId="8" priority="3">
      <formula>OR(IF(LDO1_in="Buck3",IF(I_LDO1&gt;150,IF((Buck3-VLDO1)&lt;1,1,0),IF((Buck3-VLDO1)&lt;0.5,1,0)),0),IF(LDO1_in="Vpre",IF(I_LDO1&gt;150,IF((Vpre-VLDO1)&lt;1,1,0),IF((Vpre-VLDO1)&lt;0.5,1,0)),0),IF(LDO1_in="Boost",IF(I_LDO1&gt;150,IF((Buck3-VLDO1)&lt;1,1,0),IF((Buck3-VLDO1)&lt;0.5,1,0)),0))</formula>
    </cfRule>
  </conditionalFormatting>
  <conditionalFormatting sqref="F17 F24">
    <cfRule type="cellIs" dxfId="7" priority="2" operator="greaterThan">
      <formula>30</formula>
    </cfRule>
  </conditionalFormatting>
  <conditionalFormatting sqref="X12">
    <cfRule type="expression" dxfId="6" priority="1">
      <formula>IF(I_LDO2&gt;150,IF((Boost-VLDO2)&lt;1,1,0),IF((Boost-VLDO2)&lt;0.5,1,0))</formula>
    </cfRule>
  </conditionalFormatting>
  <dataValidations count="9">
    <dataValidation type="list" allowBlank="1" showInputMessage="1" showErrorMessage="1" sqref="U11" xr:uid="{00000000-0002-0000-0300-000000000000}">
      <formula1>$C$137:$C$139</formula1>
    </dataValidation>
    <dataValidation type="list" allowBlank="1" showInputMessage="1" showErrorMessage="1" sqref="R13" xr:uid="{00000000-0002-0000-0300-000001000000}">
      <formula1>$C$133:$C$134</formula1>
    </dataValidation>
    <dataValidation type="list" allowBlank="1" showInputMessage="1" showErrorMessage="1" sqref="X12 U12" xr:uid="{00000000-0002-0000-0300-000002000000}">
      <formula1>$C$140:$C$147</formula1>
    </dataValidation>
    <dataValidation type="list" allowBlank="1" showInputMessage="1" showErrorMessage="1" sqref="I13" xr:uid="{00000000-0002-0000-0300-000003000000}">
      <formula1>$C$125:$C$128</formula1>
    </dataValidation>
    <dataValidation type="list" allowBlank="1" showInputMessage="1" showErrorMessage="1" sqref="I20" xr:uid="{00000000-0002-0000-0300-000004000000}">
      <formula1>$C$123:$C$124</formula1>
    </dataValidation>
    <dataValidation type="list" allowBlank="1" showInputMessage="1" showErrorMessage="1" sqref="F16 F23" xr:uid="{00000000-0002-0000-0300-000005000000}">
      <formula1>$C$129:$C$132</formula1>
    </dataValidation>
    <dataValidation type="list" allowBlank="1" showInputMessage="1" showErrorMessage="1" sqref="AA45" xr:uid="{00000000-0002-0000-0300-000006000000}">
      <formula1>$C$161:$C$173</formula1>
    </dataValidation>
    <dataValidation type="list" allowBlank="1" showInputMessage="1" showErrorMessage="1" sqref="O14" xr:uid="{00000000-0002-0000-0300-000007000000}">
      <formula1>$C$135:$C$136</formula1>
    </dataValidation>
    <dataValidation type="list" allowBlank="1" showInputMessage="1" showErrorMessage="1" sqref="I45 R45" xr:uid="{00000000-0002-0000-0300-000008000000}">
      <formula1>$C$148:$C$160</formula1>
    </dataValidation>
  </dataValidations>
  <pageMargins left="0.17" right="0.19" top="0.33" bottom="0.43" header="0.16" footer="0.28000000000000003"/>
  <pageSetup paperSize="9" scale="52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zoomScale="85" zoomScaleNormal="85" workbookViewId="0">
      <selection activeCell="P39" sqref="P39"/>
    </sheetView>
  </sheetViews>
  <sheetFormatPr defaultColWidth="9.140625" defaultRowHeight="12.75" x14ac:dyDescent="0.2"/>
  <cols>
    <col min="1" max="1" width="0.5703125" style="38" customWidth="1"/>
    <col min="2" max="3" width="12.7109375" style="38" customWidth="1"/>
    <col min="4" max="4" width="0.5703125" style="38" customWidth="1"/>
    <col min="5" max="6" width="12.7109375" style="38" customWidth="1"/>
    <col min="7" max="7" width="0.5703125" style="38" customWidth="1"/>
    <col min="8" max="9" width="12.7109375" style="38" customWidth="1"/>
    <col min="10" max="10" width="0.5703125" style="38" customWidth="1"/>
    <col min="11" max="12" width="12.7109375" style="38" customWidth="1"/>
    <col min="13" max="13" width="0.5703125" style="38" customWidth="1"/>
    <col min="14" max="14" width="9.140625" style="37"/>
    <col min="15" max="16384" width="9.140625" style="38"/>
  </cols>
  <sheetData>
    <row r="1" spans="1:14" s="33" customFormat="1" ht="15" customHeight="1" x14ac:dyDescent="0.2">
      <c r="A1" s="311" t="s">
        <v>26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29"/>
    </row>
    <row r="2" spans="1:14" s="34" customFormat="1" ht="3.75" customHeight="1" x14ac:dyDescent="0.2">
      <c r="N2" s="26"/>
    </row>
    <row r="4" spans="1:14" ht="3.7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6"/>
      <c r="L4" s="36"/>
      <c r="M4" s="36"/>
    </row>
    <row r="5" spans="1:14" ht="30" customHeight="1" x14ac:dyDescent="0.2">
      <c r="A5" s="39"/>
      <c r="B5" s="308" t="s">
        <v>98</v>
      </c>
      <c r="C5" s="308"/>
      <c r="D5" s="39"/>
      <c r="E5" s="308" t="s">
        <v>100</v>
      </c>
      <c r="F5" s="309"/>
      <c r="G5" s="39"/>
      <c r="H5" s="308" t="s">
        <v>101</v>
      </c>
      <c r="I5" s="308"/>
      <c r="J5" s="40"/>
      <c r="K5" s="310" t="s">
        <v>96</v>
      </c>
      <c r="L5" s="310"/>
      <c r="M5" s="41"/>
    </row>
    <row r="6" spans="1:14" ht="3.75" customHeight="1" x14ac:dyDescent="0.2">
      <c r="A6" s="36"/>
      <c r="B6" s="35"/>
      <c r="C6" s="35"/>
      <c r="D6" s="36"/>
      <c r="E6" s="35"/>
      <c r="F6" s="35"/>
      <c r="G6" s="35"/>
      <c r="H6" s="36"/>
      <c r="I6" s="36"/>
      <c r="J6" s="36"/>
      <c r="K6" s="36"/>
      <c r="L6" s="36"/>
      <c r="M6" s="36"/>
    </row>
    <row r="7" spans="1:14" ht="14.25" x14ac:dyDescent="0.2">
      <c r="A7" s="39"/>
      <c r="D7" s="39"/>
      <c r="E7" s="34"/>
      <c r="F7" s="34"/>
      <c r="G7" s="35"/>
      <c r="H7" s="34"/>
      <c r="I7" s="34"/>
      <c r="J7" s="35"/>
      <c r="K7" s="34"/>
      <c r="L7" s="42" t="s">
        <v>72</v>
      </c>
      <c r="M7" s="36"/>
      <c r="N7" s="37" t="s">
        <v>14</v>
      </c>
    </row>
    <row r="8" spans="1:14" ht="14.25" x14ac:dyDescent="0.2">
      <c r="A8" s="39"/>
      <c r="B8" s="43" t="s">
        <v>97</v>
      </c>
      <c r="C8" s="44">
        <f>VR5500_PDTCALC!Pout_Vpre/VR5500_PDTCALC!Vsup/VR5500_PDTCALC!Eff_Vpre</f>
        <v>0.56688697281244593</v>
      </c>
      <c r="D8" s="39"/>
      <c r="E8" s="45" t="s">
        <v>92</v>
      </c>
      <c r="F8" s="30" t="s">
        <v>14</v>
      </c>
      <c r="G8" s="35"/>
      <c r="H8" s="45" t="s">
        <v>94</v>
      </c>
      <c r="I8" s="30" t="s">
        <v>14</v>
      </c>
      <c r="J8" s="35"/>
      <c r="K8" s="46" t="s">
        <v>9</v>
      </c>
      <c r="L8" s="47">
        <f>VR5500_PDTCALC!AA31</f>
        <v>0.77034761937424279</v>
      </c>
      <c r="M8" s="36"/>
      <c r="N8" s="37" t="s">
        <v>55</v>
      </c>
    </row>
    <row r="9" spans="1:14" ht="14.25" x14ac:dyDescent="0.2">
      <c r="A9" s="39"/>
      <c r="B9" s="43" t="s">
        <v>99</v>
      </c>
      <c r="C9" s="17">
        <v>0.35</v>
      </c>
      <c r="D9" s="39"/>
      <c r="E9" s="43" t="s">
        <v>111</v>
      </c>
      <c r="F9" s="17">
        <v>1.1000000000000001</v>
      </c>
      <c r="G9" s="35"/>
      <c r="H9" s="43" t="s">
        <v>112</v>
      </c>
      <c r="I9" s="17">
        <v>1.8</v>
      </c>
      <c r="J9" s="35"/>
      <c r="K9" s="46" t="s">
        <v>99</v>
      </c>
      <c r="L9" s="48">
        <f>Pdis_RB_diode</f>
        <v>0.19841044048435608</v>
      </c>
      <c r="M9" s="36"/>
      <c r="N9" s="37" t="s">
        <v>52</v>
      </c>
    </row>
    <row r="10" spans="1:14" ht="14.25" x14ac:dyDescent="0.2">
      <c r="A10" s="39"/>
      <c r="B10" s="43" t="s">
        <v>119</v>
      </c>
      <c r="C10" s="5">
        <v>40</v>
      </c>
      <c r="D10" s="39"/>
      <c r="E10" s="43" t="s">
        <v>93</v>
      </c>
      <c r="F10" s="31">
        <v>0</v>
      </c>
      <c r="G10" s="35"/>
      <c r="H10" s="43" t="s">
        <v>95</v>
      </c>
      <c r="I10" s="31">
        <v>0</v>
      </c>
      <c r="J10" s="35"/>
      <c r="K10" s="46" t="s">
        <v>121</v>
      </c>
      <c r="L10" s="48">
        <f>Pdis_PI_filter</f>
        <v>1.2854433597778353E-2</v>
      </c>
      <c r="M10" s="36"/>
    </row>
    <row r="11" spans="1:14" ht="14.25" x14ac:dyDescent="0.2">
      <c r="A11" s="39"/>
      <c r="B11" s="34"/>
      <c r="C11" s="49"/>
      <c r="D11" s="39"/>
      <c r="E11" s="34"/>
      <c r="F11" s="49"/>
      <c r="G11" s="35"/>
      <c r="H11" s="34"/>
      <c r="I11" s="49"/>
      <c r="J11" s="35"/>
      <c r="K11" s="46" t="s">
        <v>90</v>
      </c>
      <c r="L11" s="48">
        <f>Pdis_LDO3</f>
        <v>0</v>
      </c>
      <c r="M11" s="36"/>
    </row>
    <row r="12" spans="1:14" ht="14.25" x14ac:dyDescent="0.2">
      <c r="A12" s="39"/>
      <c r="B12" s="34"/>
      <c r="C12" s="34"/>
      <c r="D12" s="39"/>
      <c r="E12" s="34"/>
      <c r="F12" s="34"/>
      <c r="G12" s="36"/>
      <c r="H12" s="34"/>
      <c r="I12" s="34"/>
      <c r="J12" s="35"/>
      <c r="K12" s="46" t="s">
        <v>91</v>
      </c>
      <c r="L12" s="48">
        <f>Pdis_LDO4</f>
        <v>0</v>
      </c>
      <c r="M12" s="36"/>
    </row>
    <row r="13" spans="1:14" ht="3.75" customHeight="1" x14ac:dyDescent="0.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50"/>
      <c r="L13" s="34"/>
      <c r="M13" s="36"/>
    </row>
    <row r="14" spans="1:14" x14ac:dyDescent="0.2">
      <c r="A14" s="51"/>
      <c r="B14" s="34"/>
      <c r="C14" s="47"/>
      <c r="D14" s="51"/>
      <c r="E14" s="34"/>
      <c r="F14" s="47"/>
      <c r="G14" s="36"/>
      <c r="H14" s="34"/>
      <c r="I14" s="47"/>
      <c r="J14" s="35"/>
      <c r="M14" s="36"/>
    </row>
    <row r="15" spans="1:14" x14ac:dyDescent="0.2">
      <c r="A15" s="36"/>
      <c r="B15" s="43" t="s">
        <v>106</v>
      </c>
      <c r="C15" s="48">
        <f>RB_diode*ISUP</f>
        <v>0.19841044048435608</v>
      </c>
      <c r="D15" s="36"/>
      <c r="E15" s="43" t="s">
        <v>8</v>
      </c>
      <c r="F15" s="47">
        <f>LDO3_out*I_LDO3/1000</f>
        <v>0</v>
      </c>
      <c r="G15" s="36"/>
      <c r="H15" s="43" t="s">
        <v>8</v>
      </c>
      <c r="I15" s="47">
        <f>LDO4_out*I_LDO4/1000</f>
        <v>0</v>
      </c>
      <c r="J15" s="35"/>
      <c r="K15" s="46" t="s">
        <v>104</v>
      </c>
      <c r="L15" s="52">
        <f>(VR5500_PDTCALC!Vpre*VR5500_PDTCALC!Ipre_add)+VR5500_PDTCALC!Pout_LDO1+VR5500_PDTCALC!Pout_LDO2+VR5500_PDTCALC!Pout_Buck1+VR5500_PDTCALC!Pout_Buck2+(VR5500_PDTCALC!Buck3*VR5500_PDTCALC!Ibuck3)+Pout_LDO3+Pout_LDO4</f>
        <v>7.2309999999999999</v>
      </c>
      <c r="M15" s="36"/>
    </row>
    <row r="16" spans="1:14" x14ac:dyDescent="0.2">
      <c r="A16" s="36"/>
      <c r="B16" s="43" t="s">
        <v>120</v>
      </c>
      <c r="C16" s="48">
        <f>DCR_PI_filter/1000*ISUP^2</f>
        <v>1.2854433597778353E-2</v>
      </c>
      <c r="D16" s="36"/>
      <c r="E16" s="43" t="s">
        <v>72</v>
      </c>
      <c r="F16" s="48">
        <f>IF(LDO3_in="Vpre",(VR5500_PDTCALC!Vpre-LDO3_out)*I_LDO3/1000,IF(LDO3_in="Boost",(VR5500_PDTCALC!Boost-LDO3_out)*I_LDO3/1000,(VR5500_PDTCALC!Buck3-LDO3_out)*I_LDO3/1000))</f>
        <v>0</v>
      </c>
      <c r="G16" s="36"/>
      <c r="H16" s="43" t="s">
        <v>72</v>
      </c>
      <c r="I16" s="48">
        <f>IF(LDO4_in="Vpre",(VR5500_PDTCALC!Vpre-LDO4_out)*I_LDO4/1000,IF(LDO4_in="Boost",(VR5500_PDTCALC!Boost-LDO4_out)*I_LDO4/1000,(VR5500_PDTCALC!Buck3-LDO4_out)*I_LDO4/1000))</f>
        <v>0</v>
      </c>
      <c r="J16" s="35"/>
      <c r="K16" s="46" t="s">
        <v>103</v>
      </c>
      <c r="L16" s="52">
        <f>SUM(L8:L13)</f>
        <v>0.98161249345637724</v>
      </c>
      <c r="M16" s="36"/>
    </row>
    <row r="17" spans="1:13" x14ac:dyDescent="0.2">
      <c r="A17" s="36"/>
      <c r="B17" s="53"/>
      <c r="C17" s="54"/>
      <c r="D17" s="36"/>
      <c r="E17" s="53" t="s">
        <v>13</v>
      </c>
      <c r="F17" s="54" t="str">
        <f>IF(Pout_LDO3=0,"-",Pout_LDO3/(Pout_LDO3+Pdis_LDO3))</f>
        <v>-</v>
      </c>
      <c r="G17" s="36"/>
      <c r="H17" s="53" t="s">
        <v>13</v>
      </c>
      <c r="I17" s="54" t="str">
        <f>IF(Pout_LDO4=0,"-",Pout_LDO4/(Pout_LDO4+Pdis_LDO4))</f>
        <v>-</v>
      </c>
      <c r="J17" s="35"/>
      <c r="K17" s="55" t="s">
        <v>102</v>
      </c>
      <c r="L17" s="56">
        <f>L15/(L15+L16)</f>
        <v>0.88047500180502813</v>
      </c>
      <c r="M17" s="36"/>
    </row>
    <row r="18" spans="1:13" x14ac:dyDescent="0.2">
      <c r="A18" s="36"/>
      <c r="B18" s="53"/>
      <c r="C18" s="57"/>
      <c r="D18" s="36"/>
      <c r="E18" s="53"/>
      <c r="F18" s="57"/>
      <c r="G18" s="36"/>
      <c r="H18" s="53"/>
      <c r="I18" s="57"/>
      <c r="J18" s="35"/>
      <c r="K18" s="34"/>
      <c r="L18" s="34"/>
      <c r="M18" s="36"/>
    </row>
    <row r="19" spans="1:13" ht="19.5" customHeight="1" x14ac:dyDescent="0.2">
      <c r="A19" s="35"/>
      <c r="B19" s="35"/>
      <c r="C19" s="35"/>
      <c r="D19" s="35"/>
      <c r="E19" s="35"/>
      <c r="F19" s="35"/>
      <c r="G19" s="35"/>
      <c r="H19" s="35"/>
      <c r="I19" s="36"/>
      <c r="J19" s="36"/>
      <c r="K19" s="36"/>
      <c r="L19" s="36"/>
      <c r="M19" s="36"/>
    </row>
  </sheetData>
  <dataConsolidate/>
  <mergeCells count="5">
    <mergeCell ref="A1:M1"/>
    <mergeCell ref="B5:C5"/>
    <mergeCell ref="E5:F5"/>
    <mergeCell ref="H5:I5"/>
    <mergeCell ref="K5:L5"/>
  </mergeCells>
  <conditionalFormatting sqref="I16 F16">
    <cfRule type="cellIs" dxfId="5" priority="1" operator="lessThan">
      <formula>0</formula>
    </cfRule>
  </conditionalFormatting>
  <dataValidations count="1">
    <dataValidation type="list" allowBlank="1" showInputMessage="1" showErrorMessage="1" sqref="F8 I8" xr:uid="{00000000-0002-0000-0400-000000000000}">
      <formula1>$N$7:$N$9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3"/>
  <sheetViews>
    <sheetView zoomScale="85" zoomScaleNormal="85" workbookViewId="0">
      <selection activeCell="D21" sqref="D21"/>
    </sheetView>
  </sheetViews>
  <sheetFormatPr defaultColWidth="9.140625" defaultRowHeight="14.25" customHeight="1" x14ac:dyDescent="0.2"/>
  <cols>
    <col min="1" max="1" width="2.7109375" style="214" customWidth="1"/>
    <col min="2" max="2" width="35.28515625" style="214" bestFit="1" customWidth="1"/>
    <col min="3" max="4" width="10.7109375" style="215" customWidth="1"/>
    <col min="5" max="5" width="2.7109375" style="214" customWidth="1"/>
    <col min="6" max="6" width="35.28515625" style="214" bestFit="1" customWidth="1"/>
    <col min="7" max="8" width="10.7109375" style="215" customWidth="1"/>
    <col min="9" max="9" width="2.7109375" style="214" customWidth="1"/>
    <col min="10" max="10" width="35.28515625" style="214" bestFit="1" customWidth="1"/>
    <col min="11" max="12" width="10.7109375" style="215" customWidth="1"/>
    <col min="13" max="13" width="2.7109375" style="214" customWidth="1"/>
    <col min="14" max="14" width="2.7109375" style="218" customWidth="1"/>
    <col min="15" max="25" width="9.140625" style="218"/>
    <col min="26" max="26" width="2.7109375" style="218" customWidth="1"/>
    <col min="27" max="16384" width="9.140625" style="218"/>
  </cols>
  <sheetData>
    <row r="1" spans="1:26" ht="15" x14ac:dyDescent="0.2">
      <c r="J1" s="216"/>
      <c r="K1" s="217"/>
      <c r="L1" s="217"/>
    </row>
    <row r="2" spans="1:26" ht="15" x14ac:dyDescent="0.2">
      <c r="B2" s="314" t="s">
        <v>245</v>
      </c>
      <c r="C2" s="314"/>
      <c r="D2" s="314"/>
      <c r="F2" s="314" t="s">
        <v>245</v>
      </c>
      <c r="G2" s="314"/>
      <c r="H2" s="314"/>
      <c r="J2" s="314" t="s">
        <v>245</v>
      </c>
      <c r="K2" s="314"/>
      <c r="L2" s="314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</row>
    <row r="3" spans="1:26" ht="15" x14ac:dyDescent="0.2">
      <c r="B3" s="315" t="s">
        <v>246</v>
      </c>
      <c r="C3" s="315"/>
      <c r="D3" s="315"/>
      <c r="F3" s="315" t="s">
        <v>246</v>
      </c>
      <c r="G3" s="315"/>
      <c r="H3" s="315"/>
      <c r="J3" s="315" t="s">
        <v>246</v>
      </c>
      <c r="K3" s="315"/>
      <c r="L3" s="315"/>
      <c r="N3" s="219"/>
      <c r="Z3" s="219"/>
    </row>
    <row r="4" spans="1:26" ht="15" x14ac:dyDescent="0.2">
      <c r="B4" s="316" t="s">
        <v>247</v>
      </c>
      <c r="C4" s="316"/>
      <c r="D4" s="316"/>
      <c r="F4" s="316" t="s">
        <v>247</v>
      </c>
      <c r="G4" s="316"/>
      <c r="H4" s="316"/>
      <c r="J4" s="316" t="s">
        <v>247</v>
      </c>
      <c r="K4" s="316"/>
      <c r="L4" s="316"/>
      <c r="N4" s="219"/>
      <c r="P4" s="318" t="s">
        <v>314</v>
      </c>
      <c r="Q4" s="318"/>
      <c r="R4" s="318"/>
      <c r="S4" s="318"/>
      <c r="T4" s="318"/>
      <c r="U4" s="318"/>
      <c r="V4" s="318"/>
      <c r="W4" s="318"/>
      <c r="X4" s="318"/>
      <c r="Z4" s="219"/>
    </row>
    <row r="5" spans="1:26" ht="15" x14ac:dyDescent="0.2">
      <c r="J5" s="216"/>
      <c r="K5" s="217"/>
      <c r="L5" s="217"/>
      <c r="N5" s="219"/>
      <c r="Z5" s="219"/>
    </row>
    <row r="6" spans="1:26" ht="15" x14ac:dyDescent="0.2">
      <c r="B6" s="319" t="s">
        <v>248</v>
      </c>
      <c r="C6" s="319"/>
      <c r="D6" s="319"/>
      <c r="F6" s="319" t="s">
        <v>248</v>
      </c>
      <c r="G6" s="319"/>
      <c r="H6" s="319"/>
      <c r="J6" s="317"/>
      <c r="K6" s="317"/>
      <c r="L6" s="317"/>
      <c r="N6" s="219"/>
      <c r="Z6" s="219"/>
    </row>
    <row r="7" spans="1:26" ht="15" x14ac:dyDescent="0.2">
      <c r="B7" s="220" t="s">
        <v>327</v>
      </c>
      <c r="C7" s="212">
        <f>C18/10</f>
        <v>45500</v>
      </c>
      <c r="D7" s="212" t="s">
        <v>249</v>
      </c>
      <c r="F7" s="220" t="s">
        <v>327</v>
      </c>
      <c r="G7" s="212">
        <f>G18/10</f>
        <v>222000</v>
      </c>
      <c r="H7" s="212" t="s">
        <v>249</v>
      </c>
      <c r="J7" s="216"/>
      <c r="K7" s="217"/>
      <c r="L7" s="217"/>
      <c r="N7" s="219"/>
      <c r="Z7" s="219"/>
    </row>
    <row r="8" spans="1:26" s="227" customFormat="1" ht="15" x14ac:dyDescent="0.2">
      <c r="A8" s="221"/>
      <c r="B8" s="222" t="s">
        <v>326</v>
      </c>
      <c r="C8" s="205">
        <v>1</v>
      </c>
      <c r="D8" s="223" t="s">
        <v>250</v>
      </c>
      <c r="E8" s="221"/>
      <c r="F8" s="222" t="s">
        <v>326</v>
      </c>
      <c r="G8" s="205">
        <v>1</v>
      </c>
      <c r="H8" s="223" t="s">
        <v>250</v>
      </c>
      <c r="I8" s="221"/>
      <c r="J8" s="224"/>
      <c r="K8" s="225"/>
      <c r="L8" s="225"/>
      <c r="M8" s="221"/>
      <c r="N8" s="226"/>
      <c r="Z8" s="226"/>
    </row>
    <row r="9" spans="1:26" ht="15" x14ac:dyDescent="0.2">
      <c r="B9" s="220" t="s">
        <v>322</v>
      </c>
      <c r="C9" s="228">
        <f>1000000/(2*2*3.14156*3.14156*C7*C7*C8/1000000)</f>
        <v>12.235634576974752</v>
      </c>
      <c r="D9" s="212" t="s">
        <v>251</v>
      </c>
      <c r="F9" s="220" t="s">
        <v>322</v>
      </c>
      <c r="G9" s="228">
        <f>1000000/(2*2*3.14156*3.14156*G7*G7*G8/1000000)</f>
        <v>0.51397659449277611</v>
      </c>
      <c r="H9" s="212" t="s">
        <v>251</v>
      </c>
      <c r="J9" s="216"/>
      <c r="K9" s="229"/>
      <c r="L9" s="217"/>
      <c r="N9" s="219"/>
      <c r="Z9" s="219"/>
    </row>
    <row r="10" spans="1:26" s="227" customFormat="1" ht="15" x14ac:dyDescent="0.2">
      <c r="A10" s="221"/>
      <c r="B10" s="230" t="s">
        <v>323</v>
      </c>
      <c r="C10" s="231">
        <v>10</v>
      </c>
      <c r="D10" s="223" t="s">
        <v>251</v>
      </c>
      <c r="E10" s="221"/>
      <c r="F10" s="230" t="s">
        <v>323</v>
      </c>
      <c r="G10" s="231">
        <v>2.2000000000000002</v>
      </c>
      <c r="H10" s="223" t="s">
        <v>251</v>
      </c>
      <c r="I10" s="221"/>
      <c r="J10" s="224"/>
      <c r="K10" s="232"/>
      <c r="L10" s="225"/>
      <c r="M10" s="221"/>
      <c r="N10" s="226"/>
      <c r="Z10" s="226"/>
    </row>
    <row r="11" spans="1:26" ht="15" x14ac:dyDescent="0.2">
      <c r="B11" s="220" t="s">
        <v>324</v>
      </c>
      <c r="C11" s="228">
        <f>1000000*(C19*C17*(1-C17))/(C18*0.075)</f>
        <v>18.205875756896162</v>
      </c>
      <c r="D11" s="212" t="s">
        <v>251</v>
      </c>
      <c r="F11" s="220" t="s">
        <v>324</v>
      </c>
      <c r="G11" s="228">
        <f>1000000*(G19*G17*(1-G17))/(G18*0.075)</f>
        <v>3.7313844456701593</v>
      </c>
      <c r="H11" s="212" t="s">
        <v>251</v>
      </c>
      <c r="J11" s="216"/>
      <c r="K11" s="229"/>
      <c r="L11" s="217"/>
      <c r="N11" s="219"/>
      <c r="Z11" s="219"/>
    </row>
    <row r="12" spans="1:26" s="227" customFormat="1" ht="15" x14ac:dyDescent="0.2">
      <c r="A12" s="221"/>
      <c r="B12" s="230" t="s">
        <v>325</v>
      </c>
      <c r="C12" s="231">
        <v>20</v>
      </c>
      <c r="D12" s="223" t="s">
        <v>251</v>
      </c>
      <c r="E12" s="221"/>
      <c r="F12" s="230" t="s">
        <v>325</v>
      </c>
      <c r="G12" s="231">
        <v>4.7</v>
      </c>
      <c r="H12" s="223" t="s">
        <v>251</v>
      </c>
      <c r="I12" s="221"/>
      <c r="J12" s="224"/>
      <c r="K12" s="232"/>
      <c r="L12" s="225"/>
      <c r="M12" s="221"/>
      <c r="N12" s="226"/>
      <c r="Z12" s="226"/>
    </row>
    <row r="13" spans="1:26" ht="15" x14ac:dyDescent="0.2">
      <c r="N13" s="219"/>
      <c r="Z13" s="219"/>
    </row>
    <row r="14" spans="1:26" ht="15" x14ac:dyDescent="0.2">
      <c r="B14" s="319" t="s">
        <v>252</v>
      </c>
      <c r="C14" s="319"/>
      <c r="D14" s="319"/>
      <c r="F14" s="319" t="s">
        <v>253</v>
      </c>
      <c r="G14" s="319"/>
      <c r="H14" s="319"/>
      <c r="J14" s="320" t="s">
        <v>313</v>
      </c>
      <c r="K14" s="320"/>
      <c r="L14" s="320"/>
      <c r="N14" s="219"/>
      <c r="Z14" s="219"/>
    </row>
    <row r="15" spans="1:26" ht="15" x14ac:dyDescent="0.2">
      <c r="B15" s="233" t="s">
        <v>328</v>
      </c>
      <c r="C15" s="206">
        <v>14</v>
      </c>
      <c r="D15" s="234" t="s">
        <v>254</v>
      </c>
      <c r="F15" s="233" t="s">
        <v>328</v>
      </c>
      <c r="G15" s="206">
        <v>14</v>
      </c>
      <c r="H15" s="234" t="s">
        <v>254</v>
      </c>
      <c r="J15" s="235" t="s">
        <v>296</v>
      </c>
      <c r="K15" s="211">
        <f>C16</f>
        <v>4.0999999999999996</v>
      </c>
      <c r="L15" s="236" t="s">
        <v>254</v>
      </c>
      <c r="N15" s="219"/>
      <c r="Z15" s="219"/>
    </row>
    <row r="16" spans="1:26" ht="15" x14ac:dyDescent="0.2">
      <c r="B16" s="233" t="s">
        <v>255</v>
      </c>
      <c r="C16" s="206">
        <v>4.0999999999999996</v>
      </c>
      <c r="D16" s="234" t="s">
        <v>254</v>
      </c>
      <c r="F16" s="233" t="s">
        <v>255</v>
      </c>
      <c r="G16" s="206">
        <v>4.0999999999999996</v>
      </c>
      <c r="H16" s="234" t="s">
        <v>254</v>
      </c>
      <c r="J16" s="235" t="s">
        <v>297</v>
      </c>
      <c r="K16" s="211">
        <v>5</v>
      </c>
      <c r="L16" s="236" t="s">
        <v>254</v>
      </c>
      <c r="N16" s="219"/>
      <c r="Z16" s="219"/>
    </row>
    <row r="17" spans="1:26" ht="15" x14ac:dyDescent="0.2">
      <c r="B17" s="233" t="s">
        <v>256</v>
      </c>
      <c r="C17" s="237">
        <f>C16/C15</f>
        <v>0.29285714285714282</v>
      </c>
      <c r="D17" s="234"/>
      <c r="F17" s="233" t="s">
        <v>256</v>
      </c>
      <c r="G17" s="237">
        <f>G16/G15</f>
        <v>0.29285714285714282</v>
      </c>
      <c r="H17" s="234"/>
      <c r="J17" s="235" t="s">
        <v>256</v>
      </c>
      <c r="K17" s="238">
        <f>1-(K15/K16)</f>
        <v>0.18000000000000005</v>
      </c>
      <c r="L17" s="236"/>
      <c r="N17" s="219"/>
      <c r="Z17" s="219"/>
    </row>
    <row r="18" spans="1:26" ht="15" x14ac:dyDescent="0.2">
      <c r="B18" s="233" t="s">
        <v>257</v>
      </c>
      <c r="C18" s="212">
        <v>455000</v>
      </c>
      <c r="D18" s="234" t="s">
        <v>249</v>
      </c>
      <c r="F18" s="233" t="s">
        <v>257</v>
      </c>
      <c r="G18" s="212">
        <v>2220000</v>
      </c>
      <c r="H18" s="234" t="s">
        <v>249</v>
      </c>
      <c r="J18" s="235" t="s">
        <v>176</v>
      </c>
      <c r="K18" s="213">
        <v>2220000</v>
      </c>
      <c r="L18" s="236" t="s">
        <v>249</v>
      </c>
      <c r="N18" s="219"/>
      <c r="Z18" s="219"/>
    </row>
    <row r="19" spans="1:26" ht="15" x14ac:dyDescent="0.2">
      <c r="B19" s="233" t="s">
        <v>258</v>
      </c>
      <c r="C19" s="206">
        <v>3</v>
      </c>
      <c r="D19" s="234" t="s">
        <v>259</v>
      </c>
      <c r="F19" s="233" t="s">
        <v>258</v>
      </c>
      <c r="G19" s="206">
        <v>3</v>
      </c>
      <c r="H19" s="234" t="s">
        <v>259</v>
      </c>
      <c r="J19" s="235" t="s">
        <v>298</v>
      </c>
      <c r="K19" s="211">
        <v>0.1</v>
      </c>
      <c r="L19" s="236" t="s">
        <v>259</v>
      </c>
      <c r="N19" s="219"/>
      <c r="Z19" s="219"/>
    </row>
    <row r="20" spans="1:26" ht="15" x14ac:dyDescent="0.2">
      <c r="B20" s="233" t="s">
        <v>260</v>
      </c>
      <c r="C20" s="228">
        <f>C19+(C19*C27/2/100)</f>
        <v>3.4685335672730631</v>
      </c>
      <c r="D20" s="234" t="s">
        <v>259</v>
      </c>
      <c r="F20" s="233" t="s">
        <v>260</v>
      </c>
      <c r="G20" s="228">
        <f>G19+(G19*G27/2/100)</f>
        <v>3.2968146718146718</v>
      </c>
      <c r="H20" s="234" t="s">
        <v>259</v>
      </c>
      <c r="J20" s="235" t="s">
        <v>299</v>
      </c>
      <c r="K20" s="239">
        <v>2</v>
      </c>
      <c r="L20" s="236" t="s">
        <v>259</v>
      </c>
      <c r="N20" s="219"/>
      <c r="Z20" s="219"/>
    </row>
    <row r="21" spans="1:26" ht="15" x14ac:dyDescent="0.2">
      <c r="B21" s="233" t="s">
        <v>261</v>
      </c>
      <c r="C21" s="206">
        <v>30</v>
      </c>
      <c r="D21" s="234" t="s">
        <v>262</v>
      </c>
      <c r="F21" s="233" t="s">
        <v>261</v>
      </c>
      <c r="G21" s="206">
        <v>30</v>
      </c>
      <c r="H21" s="234" t="s">
        <v>262</v>
      </c>
      <c r="J21" s="235" t="s">
        <v>261</v>
      </c>
      <c r="K21" s="211">
        <v>40</v>
      </c>
      <c r="L21" s="236" t="s">
        <v>262</v>
      </c>
      <c r="N21" s="219"/>
      <c r="Z21" s="219"/>
    </row>
    <row r="22" spans="1:26" ht="15" x14ac:dyDescent="0.2">
      <c r="B22" s="233" t="s">
        <v>263</v>
      </c>
      <c r="C22" s="206">
        <v>20</v>
      </c>
      <c r="D22" s="234" t="s">
        <v>264</v>
      </c>
      <c r="F22" s="233" t="s">
        <v>263</v>
      </c>
      <c r="G22" s="206">
        <v>20</v>
      </c>
      <c r="H22" s="234" t="s">
        <v>264</v>
      </c>
      <c r="J22" s="235" t="s">
        <v>263</v>
      </c>
      <c r="K22" s="211">
        <v>20</v>
      </c>
      <c r="L22" s="236" t="s">
        <v>264</v>
      </c>
      <c r="N22" s="219"/>
      <c r="Z22" s="219"/>
    </row>
    <row r="23" spans="1:26" ht="15" x14ac:dyDescent="0.2">
      <c r="B23" s="233" t="s">
        <v>265</v>
      </c>
      <c r="C23" s="206">
        <v>100</v>
      </c>
      <c r="D23" s="234" t="s">
        <v>264</v>
      </c>
      <c r="F23" s="233" t="s">
        <v>265</v>
      </c>
      <c r="G23" s="206">
        <v>100</v>
      </c>
      <c r="H23" s="234" t="s">
        <v>264</v>
      </c>
      <c r="J23" s="235" t="s">
        <v>265</v>
      </c>
      <c r="K23" s="211">
        <v>50</v>
      </c>
      <c r="L23" s="236" t="s">
        <v>264</v>
      </c>
      <c r="N23" s="219"/>
      <c r="Z23" s="219"/>
    </row>
    <row r="24" spans="1:26" ht="15" x14ac:dyDescent="0.2">
      <c r="B24" s="233" t="s">
        <v>266</v>
      </c>
      <c r="C24" s="206">
        <v>1.5</v>
      </c>
      <c r="D24" s="234" t="s">
        <v>259</v>
      </c>
      <c r="F24" s="233" t="s">
        <v>266</v>
      </c>
      <c r="G24" s="206">
        <v>1.5</v>
      </c>
      <c r="H24" s="234" t="s">
        <v>259</v>
      </c>
      <c r="J24" s="235" t="s">
        <v>266</v>
      </c>
      <c r="K24" s="211">
        <f>K19</f>
        <v>0.1</v>
      </c>
      <c r="L24" s="236" t="s">
        <v>259</v>
      </c>
      <c r="N24" s="219"/>
      <c r="Z24" s="219"/>
    </row>
    <row r="25" spans="1:26" ht="15" x14ac:dyDescent="0.2">
      <c r="B25" s="233" t="s">
        <v>267</v>
      </c>
      <c r="C25" s="228">
        <f>1000000*((C16*(C15-C16))/(C21/100*C15*C19*C18))</f>
        <v>7.0800627943485068</v>
      </c>
      <c r="D25" s="234" t="s">
        <v>250</v>
      </c>
      <c r="F25" s="233" t="s">
        <v>267</v>
      </c>
      <c r="G25" s="228">
        <f>1000000*((G16*(G15-G16))/(G21/100*G15*G19*G18))</f>
        <v>1.4510939510939507</v>
      </c>
      <c r="H25" s="234" t="s">
        <v>250</v>
      </c>
      <c r="J25" s="235" t="s">
        <v>300</v>
      </c>
      <c r="K25" s="240">
        <f>1000000*(K15*K15*(K16-K15))/(K21/100*K16*K16*K19*K18)</f>
        <v>6.8148648648648678</v>
      </c>
      <c r="L25" s="236" t="s">
        <v>250</v>
      </c>
      <c r="N25" s="219"/>
      <c r="Z25" s="219"/>
    </row>
    <row r="26" spans="1:26" s="227" customFormat="1" ht="25.5" x14ac:dyDescent="0.2">
      <c r="A26" s="221"/>
      <c r="B26" s="241" t="s">
        <v>332</v>
      </c>
      <c r="C26" s="204">
        <v>6.8</v>
      </c>
      <c r="D26" s="242" t="s">
        <v>250</v>
      </c>
      <c r="E26" s="221"/>
      <c r="F26" s="241" t="s">
        <v>331</v>
      </c>
      <c r="G26" s="204">
        <v>2.2000000000000002</v>
      </c>
      <c r="H26" s="242" t="s">
        <v>250</v>
      </c>
      <c r="I26" s="221"/>
      <c r="J26" s="243" t="s">
        <v>333</v>
      </c>
      <c r="K26" s="210">
        <v>6.8</v>
      </c>
      <c r="L26" s="245" t="s">
        <v>250</v>
      </c>
      <c r="M26" s="221"/>
      <c r="N26" s="226"/>
      <c r="Z26" s="226"/>
    </row>
    <row r="27" spans="1:26" s="251" customFormat="1" ht="15" x14ac:dyDescent="0.2">
      <c r="A27" s="246"/>
      <c r="B27" s="247" t="s">
        <v>268</v>
      </c>
      <c r="C27" s="228">
        <f>100*(C16*(C15-C16))/(C26/1000000*C15*C19*C18)</f>
        <v>31.235571151537531</v>
      </c>
      <c r="D27" s="248" t="s">
        <v>262</v>
      </c>
      <c r="E27" s="246"/>
      <c r="F27" s="247" t="s">
        <v>268</v>
      </c>
      <c r="G27" s="228">
        <f>100*(G16*(G15-G16))/(G26/1000000*G15*G19*G18)</f>
        <v>19.787644787644783</v>
      </c>
      <c r="H27" s="248" t="s">
        <v>262</v>
      </c>
      <c r="I27" s="246"/>
      <c r="J27" s="249" t="s">
        <v>268</v>
      </c>
      <c r="K27" s="240">
        <f>100*(K15*K15*(K16-K15))/(K26/1000000*K16*K16*K19*K18)</f>
        <v>40.087440381558032</v>
      </c>
      <c r="L27" s="239" t="s">
        <v>262</v>
      </c>
      <c r="M27" s="246"/>
      <c r="N27" s="250"/>
      <c r="Z27" s="250"/>
    </row>
    <row r="28" spans="1:26" ht="15" x14ac:dyDescent="0.2">
      <c r="B28" s="233" t="s">
        <v>269</v>
      </c>
      <c r="C28" s="228">
        <f>1000000*(C19*C21/100)/(C22/1000*8*C18)</f>
        <v>12.362637362637363</v>
      </c>
      <c r="D28" s="234" t="s">
        <v>251</v>
      </c>
      <c r="F28" s="233" t="s">
        <v>269</v>
      </c>
      <c r="G28" s="228">
        <f>1000000*(G19*G21/100)/(G22/1000*8*G18)</f>
        <v>2.5337837837837838</v>
      </c>
      <c r="H28" s="234" t="s">
        <v>251</v>
      </c>
      <c r="J28" s="249" t="s">
        <v>301</v>
      </c>
      <c r="K28" s="240">
        <f>1000000*((1-K15/K16)*K19)/(K18*K22/1000)</f>
        <v>0.40540540540540559</v>
      </c>
      <c r="L28" s="236" t="s">
        <v>251</v>
      </c>
      <c r="N28" s="219"/>
      <c r="Z28" s="219"/>
    </row>
    <row r="29" spans="1:26" ht="25.5" x14ac:dyDescent="0.2">
      <c r="B29" s="252" t="s">
        <v>315</v>
      </c>
      <c r="C29" s="253">
        <f>1000000*C24/(2*3.14156*C35*C23/1000)</f>
        <v>52.46920792063969</v>
      </c>
      <c r="D29" s="234" t="s">
        <v>251</v>
      </c>
      <c r="F29" s="252" t="s">
        <v>315</v>
      </c>
      <c r="G29" s="253">
        <f>1000000*G24/(2*3.14156*G35*G23/1000)</f>
        <v>16.130736218845311</v>
      </c>
      <c r="H29" s="234" t="s">
        <v>251</v>
      </c>
      <c r="J29" s="254" t="s">
        <v>318</v>
      </c>
      <c r="K29" s="240">
        <f>1000000*K24/(2*3.14156*12000*K23/1000)</f>
        <v>26.526099559878958</v>
      </c>
      <c r="L29" s="236" t="s">
        <v>251</v>
      </c>
      <c r="N29" s="219"/>
      <c r="Z29" s="219"/>
    </row>
    <row r="30" spans="1:26" s="227" customFormat="1" ht="15" x14ac:dyDescent="0.2">
      <c r="A30" s="221"/>
      <c r="B30" s="222" t="s">
        <v>270</v>
      </c>
      <c r="C30" s="204">
        <v>66</v>
      </c>
      <c r="D30" s="242" t="s">
        <v>251</v>
      </c>
      <c r="E30" s="221"/>
      <c r="F30" s="222" t="s">
        <v>270</v>
      </c>
      <c r="G30" s="204">
        <v>22</v>
      </c>
      <c r="H30" s="242" t="s">
        <v>251</v>
      </c>
      <c r="I30" s="221"/>
      <c r="J30" s="255" t="s">
        <v>302</v>
      </c>
      <c r="K30" s="210">
        <v>22</v>
      </c>
      <c r="L30" s="245" t="s">
        <v>251</v>
      </c>
      <c r="M30" s="221"/>
      <c r="N30" s="226"/>
      <c r="Z30" s="226"/>
    </row>
    <row r="31" spans="1:26" s="251" customFormat="1" ht="15" x14ac:dyDescent="0.2">
      <c r="A31" s="214"/>
      <c r="B31" s="233" t="s">
        <v>271</v>
      </c>
      <c r="C31" s="256">
        <f>1000*C24/(2*3.14156*C30/1000000*C35)</f>
        <v>79.498799879757115</v>
      </c>
      <c r="D31" s="234" t="s">
        <v>264</v>
      </c>
      <c r="E31" s="214"/>
      <c r="F31" s="233" t="s">
        <v>271</v>
      </c>
      <c r="G31" s="256">
        <f>1000*G24/(2*3.14156*G30/1000000*G35)</f>
        <v>73.321528267478669</v>
      </c>
      <c r="H31" s="234" t="s">
        <v>264</v>
      </c>
      <c r="I31" s="214"/>
      <c r="J31" s="249" t="s">
        <v>303</v>
      </c>
      <c r="K31" s="257">
        <f>1000*K24/(2*3.14156*K30/1000000*K37)</f>
        <v>23.3</v>
      </c>
      <c r="L31" s="236" t="s">
        <v>264</v>
      </c>
      <c r="M31" s="214"/>
      <c r="N31" s="250"/>
      <c r="Z31" s="250"/>
    </row>
    <row r="32" spans="1:26" s="251" customFormat="1" ht="25.5" x14ac:dyDescent="0.2">
      <c r="A32" s="214"/>
      <c r="B32" s="220" t="s">
        <v>272</v>
      </c>
      <c r="C32" s="207">
        <v>20</v>
      </c>
      <c r="D32" s="234" t="s">
        <v>273</v>
      </c>
      <c r="E32" s="214"/>
      <c r="F32" s="220" t="s">
        <v>272</v>
      </c>
      <c r="G32" s="207">
        <v>20</v>
      </c>
      <c r="H32" s="234" t="s">
        <v>273</v>
      </c>
      <c r="I32" s="214"/>
      <c r="J32" s="254" t="s">
        <v>304</v>
      </c>
      <c r="K32" s="239">
        <f>0.466/K20</f>
        <v>0.23300000000000001</v>
      </c>
      <c r="L32" s="258" t="s">
        <v>305</v>
      </c>
      <c r="M32" s="214"/>
      <c r="N32" s="250"/>
      <c r="Z32" s="250"/>
    </row>
    <row r="33" spans="1:26" s="251" customFormat="1" ht="15" x14ac:dyDescent="0.2">
      <c r="A33" s="214"/>
      <c r="B33" s="233" t="s">
        <v>274</v>
      </c>
      <c r="C33" s="228">
        <f>1000*((C19*C27/100)/(C30/1000000*8*C18)+(C32/1000*C19*C27/100))</f>
        <v>22.641888539016616</v>
      </c>
      <c r="D33" s="212" t="s">
        <v>264</v>
      </c>
      <c r="E33" s="214"/>
      <c r="F33" s="233" t="s">
        <v>274</v>
      </c>
      <c r="G33" s="228">
        <f>1000*((G19*G27/100)/(G30/1000000*8*G18)+(G32/1000*G19*G27/100))</f>
        <v>13.391908493259843</v>
      </c>
      <c r="H33" s="212" t="s">
        <v>264</v>
      </c>
      <c r="I33" s="214"/>
      <c r="J33" s="254" t="s">
        <v>306</v>
      </c>
      <c r="K33" s="259">
        <v>12000</v>
      </c>
      <c r="L33" s="213" t="s">
        <v>249</v>
      </c>
      <c r="M33" s="214"/>
      <c r="N33" s="250"/>
      <c r="Z33" s="250"/>
    </row>
    <row r="34" spans="1:26" s="251" customFormat="1" ht="15" x14ac:dyDescent="0.2">
      <c r="A34" s="224"/>
      <c r="B34" s="220" t="s">
        <v>334</v>
      </c>
      <c r="C34" s="206">
        <v>10</v>
      </c>
      <c r="D34" s="234" t="s">
        <v>273</v>
      </c>
      <c r="E34" s="224"/>
      <c r="F34" s="220" t="s">
        <v>334</v>
      </c>
      <c r="G34" s="206">
        <v>10</v>
      </c>
      <c r="H34" s="234" t="s">
        <v>273</v>
      </c>
      <c r="I34" s="224"/>
      <c r="J34" s="254" t="s">
        <v>319</v>
      </c>
      <c r="K34" s="259">
        <f>1/(2*3.14156*K39*K40/1000000000)</f>
        <v>1697.6703718322533</v>
      </c>
      <c r="L34" s="213" t="s">
        <v>249</v>
      </c>
      <c r="M34" s="224"/>
      <c r="N34" s="250"/>
      <c r="Z34" s="250"/>
    </row>
    <row r="35" spans="1:26" s="251" customFormat="1" ht="15" x14ac:dyDescent="0.2">
      <c r="A35" s="214"/>
      <c r="B35" s="233" t="s">
        <v>275</v>
      </c>
      <c r="C35" s="260">
        <f>C18/10</f>
        <v>45500</v>
      </c>
      <c r="D35" s="212" t="s">
        <v>249</v>
      </c>
      <c r="E35" s="214"/>
      <c r="F35" s="233" t="s">
        <v>276</v>
      </c>
      <c r="G35" s="260">
        <f>G18/15</f>
        <v>148000</v>
      </c>
      <c r="H35" s="212" t="s">
        <v>249</v>
      </c>
      <c r="I35" s="214"/>
      <c r="J35" s="254" t="s">
        <v>307</v>
      </c>
      <c r="K35" s="259">
        <f>1/(2*3.14156*K39*K41/1000000000)</f>
        <v>106104.39823951582</v>
      </c>
      <c r="L35" s="213" t="s">
        <v>249</v>
      </c>
      <c r="M35" s="214"/>
      <c r="N35" s="250"/>
      <c r="Z35" s="250"/>
    </row>
    <row r="36" spans="1:26" ht="25.5" x14ac:dyDescent="0.2">
      <c r="B36" s="261" t="s">
        <v>316</v>
      </c>
      <c r="C36" s="262">
        <f>C35/10</f>
        <v>4550</v>
      </c>
      <c r="D36" s="234" t="s">
        <v>249</v>
      </c>
      <c r="F36" s="261" t="s">
        <v>316</v>
      </c>
      <c r="G36" s="262">
        <f>G35/10</f>
        <v>14800</v>
      </c>
      <c r="H36" s="234" t="s">
        <v>249</v>
      </c>
      <c r="J36" s="249" t="s">
        <v>279</v>
      </c>
      <c r="K36" s="263">
        <v>7</v>
      </c>
      <c r="L36" s="213" t="s">
        <v>308</v>
      </c>
      <c r="N36" s="219"/>
      <c r="Z36" s="219"/>
    </row>
    <row r="37" spans="1:26" ht="15" x14ac:dyDescent="0.2">
      <c r="B37" s="261" t="s">
        <v>277</v>
      </c>
      <c r="C37" s="212">
        <f>C18/2</f>
        <v>227500</v>
      </c>
      <c r="D37" s="212" t="s">
        <v>249</v>
      </c>
      <c r="F37" s="261" t="s">
        <v>278</v>
      </c>
      <c r="G37" s="212">
        <f>G18/4</f>
        <v>555000</v>
      </c>
      <c r="H37" s="212" t="s">
        <v>249</v>
      </c>
      <c r="J37" s="249" t="s">
        <v>320</v>
      </c>
      <c r="K37" s="259">
        <f>1/(2*3.14156*K30/1000000*K32)</f>
        <v>31048.887506686246</v>
      </c>
      <c r="L37" s="236" t="s">
        <v>249</v>
      </c>
      <c r="N37" s="219"/>
      <c r="Z37" s="219"/>
    </row>
    <row r="38" spans="1:26" ht="15" x14ac:dyDescent="0.2">
      <c r="B38" s="220" t="s">
        <v>279</v>
      </c>
      <c r="C38" s="264">
        <v>1</v>
      </c>
      <c r="D38" s="212" t="s">
        <v>280</v>
      </c>
      <c r="F38" s="220" t="s">
        <v>279</v>
      </c>
      <c r="G38" s="264">
        <v>1</v>
      </c>
      <c r="H38" s="212" t="s">
        <v>280</v>
      </c>
      <c r="J38" s="249" t="s">
        <v>281</v>
      </c>
      <c r="K38" s="263">
        <f>K33/K37</f>
        <v>0.38648727744000011</v>
      </c>
      <c r="L38" s="236"/>
      <c r="N38" s="219"/>
      <c r="Z38" s="219"/>
    </row>
    <row r="39" spans="1:26" ht="25.5" x14ac:dyDescent="0.2">
      <c r="B39" s="220" t="s">
        <v>317</v>
      </c>
      <c r="C39" s="262">
        <f>1/(C34/1000*5*2*3.14156*C30/1000000)</f>
        <v>48229.271927052636</v>
      </c>
      <c r="D39" s="234" t="s">
        <v>249</v>
      </c>
      <c r="F39" s="220" t="s">
        <v>317</v>
      </c>
      <c r="G39" s="262">
        <f>1/(G34/1000*5*2*3.14156*G30/1000000)</f>
        <v>144687.8157811579</v>
      </c>
      <c r="H39" s="234" t="s">
        <v>249</v>
      </c>
      <c r="J39" s="243" t="s">
        <v>321</v>
      </c>
      <c r="K39" s="244">
        <v>750</v>
      </c>
      <c r="L39" s="245" t="s">
        <v>283</v>
      </c>
      <c r="N39" s="219"/>
      <c r="Z39" s="219"/>
    </row>
    <row r="40" spans="1:26" ht="15" x14ac:dyDescent="0.2">
      <c r="B40" s="220" t="s">
        <v>281</v>
      </c>
      <c r="C40" s="265">
        <f>10^LOG10(C35/C39)</f>
        <v>0.94341046800000028</v>
      </c>
      <c r="D40" s="234"/>
      <c r="F40" s="220" t="s">
        <v>281</v>
      </c>
      <c r="G40" s="265">
        <f>10^LOG10(G35/G39)</f>
        <v>1.0228919360000004</v>
      </c>
      <c r="H40" s="234"/>
      <c r="J40" s="243" t="s">
        <v>309</v>
      </c>
      <c r="K40" s="244">
        <v>125</v>
      </c>
      <c r="L40" s="266" t="s">
        <v>289</v>
      </c>
      <c r="N40" s="219"/>
      <c r="Z40" s="219"/>
    </row>
    <row r="41" spans="1:26" ht="15" x14ac:dyDescent="0.2">
      <c r="B41" s="220" t="s">
        <v>282</v>
      </c>
      <c r="C41" s="228">
        <f>C16*C40/C38</f>
        <v>3.867982918800001</v>
      </c>
      <c r="D41" s="234" t="s">
        <v>283</v>
      </c>
      <c r="F41" s="220" t="s">
        <v>282</v>
      </c>
      <c r="G41" s="228">
        <f>G16*G40/G38</f>
        <v>4.1938569376000014</v>
      </c>
      <c r="H41" s="234" t="s">
        <v>283</v>
      </c>
      <c r="J41" s="249" t="s">
        <v>310</v>
      </c>
      <c r="K41" s="263">
        <v>2</v>
      </c>
      <c r="L41" s="213" t="s">
        <v>289</v>
      </c>
      <c r="N41" s="219"/>
      <c r="Z41" s="219"/>
    </row>
    <row r="42" spans="1:26" s="227" customFormat="1" ht="15" x14ac:dyDescent="0.2">
      <c r="A42" s="214"/>
      <c r="B42" s="222" t="s">
        <v>284</v>
      </c>
      <c r="C42" s="208">
        <v>4.3</v>
      </c>
      <c r="D42" s="242" t="s">
        <v>283</v>
      </c>
      <c r="E42" s="214"/>
      <c r="F42" s="222" t="s">
        <v>284</v>
      </c>
      <c r="G42" s="208">
        <v>4.3</v>
      </c>
      <c r="H42" s="242" t="s">
        <v>283</v>
      </c>
      <c r="I42" s="214"/>
      <c r="J42" s="267" t="s">
        <v>311</v>
      </c>
      <c r="K42" s="268">
        <f>1000*(K16+0.6-K15)/K26</f>
        <v>220.58823529411765</v>
      </c>
      <c r="L42" s="269" t="s">
        <v>292</v>
      </c>
      <c r="M42" s="214"/>
      <c r="N42" s="226"/>
      <c r="Z42" s="226"/>
    </row>
    <row r="43" spans="1:26" ht="25.5" x14ac:dyDescent="0.2">
      <c r="B43" s="220" t="s">
        <v>285</v>
      </c>
      <c r="C43" s="228">
        <f>1000000000/(2*3.14156*C42*1000*C36)</f>
        <v>8.1347609179286344</v>
      </c>
      <c r="D43" s="212" t="s">
        <v>286</v>
      </c>
      <c r="F43" s="220" t="s">
        <v>285</v>
      </c>
      <c r="G43" s="228">
        <f>1000000000/(2*3.14156*G42*1000*G36)</f>
        <v>2.5008893362550868</v>
      </c>
      <c r="H43" s="212" t="s">
        <v>286</v>
      </c>
      <c r="J43" s="254" t="s">
        <v>312</v>
      </c>
      <c r="K43" s="240">
        <f>K42*K32</f>
        <v>51.397058823529413</v>
      </c>
      <c r="L43" s="239" t="s">
        <v>294</v>
      </c>
      <c r="N43" s="219"/>
      <c r="O43" s="270"/>
      <c r="Z43" s="219"/>
    </row>
    <row r="44" spans="1:26" s="227" customFormat="1" ht="15" x14ac:dyDescent="0.2">
      <c r="A44" s="214"/>
      <c r="B44" s="222" t="s">
        <v>287</v>
      </c>
      <c r="C44" s="208">
        <v>8.1999999999999993</v>
      </c>
      <c r="D44" s="223" t="s">
        <v>286</v>
      </c>
      <c r="E44" s="214"/>
      <c r="F44" s="222" t="s">
        <v>287</v>
      </c>
      <c r="G44" s="208">
        <v>2.7</v>
      </c>
      <c r="H44" s="223" t="s">
        <v>286</v>
      </c>
      <c r="I44" s="214"/>
      <c r="J44" s="224"/>
      <c r="K44" s="271"/>
      <c r="L44" s="225"/>
      <c r="M44" s="214"/>
      <c r="N44" s="226"/>
      <c r="O44" s="272"/>
      <c r="Z44" s="226"/>
    </row>
    <row r="45" spans="1:26" ht="15" x14ac:dyDescent="0.2">
      <c r="B45" s="220" t="s">
        <v>288</v>
      </c>
      <c r="C45" s="228">
        <f>1000000000000/(2*3.14156*C42*1000*C37)</f>
        <v>162.6952183585727</v>
      </c>
      <c r="D45" s="212" t="s">
        <v>289</v>
      </c>
      <c r="F45" s="220" t="s">
        <v>288</v>
      </c>
      <c r="G45" s="228">
        <f>1000000000000/(2*3.14156*G42*1000*G37)</f>
        <v>66.690382300135653</v>
      </c>
      <c r="H45" s="212" t="s">
        <v>289</v>
      </c>
      <c r="J45" s="216"/>
      <c r="K45" s="229"/>
      <c r="L45" s="217"/>
      <c r="N45" s="219"/>
      <c r="O45" s="270"/>
      <c r="Z45" s="219"/>
    </row>
    <row r="46" spans="1:26" ht="15" x14ac:dyDescent="0.2">
      <c r="B46" s="222" t="s">
        <v>290</v>
      </c>
      <c r="C46" s="209">
        <v>180</v>
      </c>
      <c r="D46" s="223" t="s">
        <v>289</v>
      </c>
      <c r="F46" s="222" t="s">
        <v>290</v>
      </c>
      <c r="G46" s="209">
        <v>68</v>
      </c>
      <c r="H46" s="223" t="s">
        <v>289</v>
      </c>
      <c r="J46" s="224"/>
      <c r="K46" s="273"/>
      <c r="L46" s="225"/>
      <c r="N46" s="219"/>
      <c r="Z46" s="219"/>
    </row>
    <row r="47" spans="1:26" ht="15" x14ac:dyDescent="0.2">
      <c r="A47" s="221"/>
      <c r="B47" s="220" t="s">
        <v>291</v>
      </c>
      <c r="C47" s="274">
        <f>1000*C16/C26</f>
        <v>602.94117647058829</v>
      </c>
      <c r="D47" s="212" t="s">
        <v>292</v>
      </c>
      <c r="E47" s="221"/>
      <c r="F47" s="220" t="s">
        <v>291</v>
      </c>
      <c r="G47" s="274">
        <f>1000*G16/G26</f>
        <v>1863.6363636363635</v>
      </c>
      <c r="H47" s="212" t="s">
        <v>292</v>
      </c>
      <c r="I47" s="221"/>
      <c r="J47" s="216"/>
      <c r="K47" s="275"/>
      <c r="L47" s="217"/>
      <c r="M47" s="221"/>
      <c r="N47" s="219"/>
      <c r="Z47" s="219"/>
    </row>
    <row r="48" spans="1:26" ht="25.5" x14ac:dyDescent="0.2">
      <c r="A48" s="276"/>
      <c r="B48" s="261" t="s">
        <v>293</v>
      </c>
      <c r="C48" s="228">
        <f>C47*C34/1000*5</f>
        <v>30.147058823529417</v>
      </c>
      <c r="D48" s="212" t="s">
        <v>294</v>
      </c>
      <c r="E48" s="276"/>
      <c r="F48" s="261" t="s">
        <v>293</v>
      </c>
      <c r="G48" s="228">
        <f>G47*G34/1000*5</f>
        <v>93.181818181818187</v>
      </c>
      <c r="H48" s="212" t="s">
        <v>294</v>
      </c>
      <c r="I48" s="276"/>
      <c r="J48" s="277"/>
      <c r="K48" s="229"/>
      <c r="L48" s="217"/>
      <c r="M48" s="276"/>
      <c r="N48" s="219"/>
      <c r="Z48" s="219"/>
    </row>
    <row r="49" spans="1:26" ht="15" x14ac:dyDescent="0.2">
      <c r="A49" s="216"/>
      <c r="B49" s="261" t="s">
        <v>295</v>
      </c>
      <c r="C49" s="228">
        <f>C34*C20</f>
        <v>34.685335672730631</v>
      </c>
      <c r="D49" s="212" t="s">
        <v>264</v>
      </c>
      <c r="E49" s="216"/>
      <c r="F49" s="261" t="s">
        <v>295</v>
      </c>
      <c r="G49" s="228">
        <f>G34*G20</f>
        <v>32.96814671814672</v>
      </c>
      <c r="H49" s="212" t="s">
        <v>264</v>
      </c>
      <c r="I49" s="216"/>
      <c r="J49" s="277"/>
      <c r="K49" s="229"/>
      <c r="L49" s="217"/>
      <c r="M49" s="216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</row>
    <row r="50" spans="1:26" ht="14.25" customHeight="1" x14ac:dyDescent="0.2">
      <c r="C50" s="214"/>
      <c r="D50" s="214"/>
      <c r="G50" s="214"/>
      <c r="H50" s="214"/>
      <c r="K50" s="214"/>
      <c r="L50" s="214"/>
    </row>
    <row r="51" spans="1:26" ht="14.25" customHeight="1" x14ac:dyDescent="0.2">
      <c r="C51" s="214"/>
      <c r="D51" s="214"/>
      <c r="G51" s="214"/>
      <c r="H51" s="214"/>
      <c r="K51" s="214"/>
      <c r="L51" s="214"/>
    </row>
    <row r="52" spans="1:26" ht="14.25" customHeight="1" x14ac:dyDescent="0.2">
      <c r="G52" s="214"/>
      <c r="H52" s="214"/>
      <c r="K52" s="214"/>
      <c r="L52" s="214"/>
    </row>
    <row r="53" spans="1:26" ht="14.25" customHeight="1" x14ac:dyDescent="0.2">
      <c r="G53" s="214"/>
      <c r="H53" s="214"/>
      <c r="K53" s="214"/>
      <c r="L53" s="214"/>
    </row>
    <row r="54" spans="1:26" ht="14.25" customHeight="1" x14ac:dyDescent="0.2">
      <c r="G54" s="214"/>
      <c r="H54" s="214"/>
      <c r="K54" s="214"/>
      <c r="L54" s="214"/>
    </row>
    <row r="55" spans="1:26" ht="14.25" customHeight="1" x14ac:dyDescent="0.2">
      <c r="G55" s="214"/>
      <c r="H55" s="214"/>
      <c r="K55" s="214"/>
      <c r="L55" s="214"/>
    </row>
    <row r="56" spans="1:26" ht="14.25" customHeight="1" x14ac:dyDescent="0.2">
      <c r="G56" s="214"/>
      <c r="H56" s="214"/>
      <c r="K56" s="214"/>
      <c r="L56" s="214"/>
    </row>
    <row r="57" spans="1:26" ht="14.25" customHeight="1" x14ac:dyDescent="0.2">
      <c r="G57" s="214"/>
      <c r="H57" s="214"/>
      <c r="K57" s="214"/>
      <c r="L57" s="214"/>
    </row>
    <row r="58" spans="1:26" ht="14.25" customHeight="1" x14ac:dyDescent="0.2">
      <c r="G58" s="214"/>
      <c r="H58" s="214"/>
      <c r="K58" s="214"/>
      <c r="L58" s="214"/>
    </row>
    <row r="59" spans="1:26" ht="14.25" customHeight="1" x14ac:dyDescent="0.2">
      <c r="G59" s="214"/>
      <c r="H59" s="214"/>
      <c r="K59" s="214"/>
      <c r="L59" s="214"/>
    </row>
    <row r="60" spans="1:26" ht="14.25" customHeight="1" x14ac:dyDescent="0.2">
      <c r="G60" s="214"/>
      <c r="H60" s="214"/>
      <c r="K60" s="214"/>
      <c r="L60" s="214"/>
    </row>
    <row r="61" spans="1:26" ht="14.25" customHeight="1" x14ac:dyDescent="0.2">
      <c r="G61" s="214"/>
      <c r="H61" s="214"/>
      <c r="K61" s="214"/>
      <c r="L61" s="214"/>
    </row>
    <row r="62" spans="1:26" ht="14.25" customHeight="1" x14ac:dyDescent="0.2">
      <c r="G62" s="214"/>
      <c r="H62" s="214"/>
      <c r="K62" s="214"/>
      <c r="L62" s="214"/>
    </row>
    <row r="63" spans="1:26" ht="14.25" customHeight="1" x14ac:dyDescent="0.2">
      <c r="G63" s="214"/>
      <c r="H63" s="214"/>
      <c r="K63" s="214"/>
      <c r="L63" s="214"/>
    </row>
  </sheetData>
  <mergeCells count="16">
    <mergeCell ref="P4:X4"/>
    <mergeCell ref="B6:D6"/>
    <mergeCell ref="F6:H6"/>
    <mergeCell ref="B14:D14"/>
    <mergeCell ref="F14:H14"/>
    <mergeCell ref="J14:L14"/>
    <mergeCell ref="J2:L2"/>
    <mergeCell ref="J3:L3"/>
    <mergeCell ref="J4:L4"/>
    <mergeCell ref="J6:L6"/>
    <mergeCell ref="B2:D2"/>
    <mergeCell ref="F2:H2"/>
    <mergeCell ref="B3:D3"/>
    <mergeCell ref="F3:H3"/>
    <mergeCell ref="B4:D4"/>
    <mergeCell ref="F4:H4"/>
  </mergeCells>
  <conditionalFormatting sqref="C40">
    <cfRule type="cellIs" dxfId="4" priority="9" operator="lessThan">
      <formula>0</formula>
    </cfRule>
  </conditionalFormatting>
  <conditionalFormatting sqref="G40">
    <cfRule type="cellIs" dxfId="3" priority="8" operator="lessThan">
      <formula>0</formula>
    </cfRule>
  </conditionalFormatting>
  <conditionalFormatting sqref="K38">
    <cfRule type="cellIs" dxfId="2" priority="3" operator="lessThan">
      <formula>0</formula>
    </cfRule>
  </conditionalFormatting>
  <conditionalFormatting sqref="K33">
    <cfRule type="cellIs" dxfId="1" priority="1" operator="lessThan">
      <formula>2000</formula>
    </cfRule>
    <cfRule type="cellIs" dxfId="0" priority="2" operator="greaterThan">
      <formula>12000</formula>
    </cfRule>
  </conditionalFormatting>
  <pageMargins left="0.7" right="0.7" top="0.75" bottom="0.75" header="0.3" footer="0.3"/>
  <pageSetup paperSize="9" orientation="portrait" verticalDpi="0" r:id="rId1"/>
  <ignoredErrors>
    <ignoredError sqref="K15 K24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256836E8651459990BF5B13FE0674" ma:contentTypeVersion="14" ma:contentTypeDescription="Create a new document." ma:contentTypeScope="" ma:versionID="1e40b7779668adf98ef4beff396c474b">
  <xsd:schema xmlns:xsd="http://www.w3.org/2001/XMLSchema" xmlns:xs="http://www.w3.org/2001/XMLSchema" xmlns:p="http://schemas.microsoft.com/office/2006/metadata/properties" xmlns:ns2="581a80d1-d65a-4c55-ad9b-3f115bad915e" xmlns:ns3="bc0dbfbe-3d01-4193-9c77-df95750a0735" targetNamespace="http://schemas.microsoft.com/office/2006/metadata/properties" ma:root="true" ma:fieldsID="99515fda56afda4799dbf709c7511e4a" ns2:_="" ns3:_="">
    <xsd:import namespace="581a80d1-d65a-4c55-ad9b-3f115bad915e"/>
    <xsd:import namespace="bc0dbfbe-3d01-4193-9c77-df95750a07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a80d1-d65a-4c55-ad9b-3f115bad91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dbfbe-3d01-4193-9c77-df95750a0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DB320-1479-4389-9CF6-741CC42C9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a80d1-d65a-4c55-ad9b-3f115bad915e"/>
    <ds:schemaRef ds:uri="bc0dbfbe-3d01-4193-9c77-df95750a0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2B0E3-17B2-4C1F-B8FF-A61A8223DD30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c0dbfbe-3d01-4193-9c77-df95750a0735"/>
    <ds:schemaRef ds:uri="http://schemas.microsoft.com/office/2006/metadata/properties"/>
    <ds:schemaRef ds:uri="http://schemas.openxmlformats.org/package/2006/metadata/core-properties"/>
    <ds:schemaRef ds:uri="581a80d1-d65a-4c55-ad9b-3f115bad915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278B84-33FB-471B-AF72-4CC42B3B4C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215</vt:i4>
      </vt:variant>
    </vt:vector>
  </HeadingPairs>
  <TitlesOfParts>
    <vt:vector size="221" baseType="lpstr">
      <vt:lpstr>Document_Details</vt:lpstr>
      <vt:lpstr>Revision_History</vt:lpstr>
      <vt:lpstr>User_Guide</vt:lpstr>
      <vt:lpstr>VR5500_PDTCALC</vt:lpstr>
      <vt:lpstr>System_PDTCALC</vt:lpstr>
      <vt:lpstr>VR5500_VPRE_VBOOST_Components</vt:lpstr>
      <vt:lpstr>VR5500_PDTCALC!Boost</vt:lpstr>
      <vt:lpstr>VR5500_PDTCALC!Boost_Imax</vt:lpstr>
      <vt:lpstr>VR5500_PDTCALC!Buck1</vt:lpstr>
      <vt:lpstr>VR5500_PDTCALC!Buck1_Imax</vt:lpstr>
      <vt:lpstr>VR5500_PDTCALC!Buck2</vt:lpstr>
      <vt:lpstr>VR5500_PDTCALC!Buck2_Imax</vt:lpstr>
      <vt:lpstr>VR5500_PDTCALC!Buck3</vt:lpstr>
      <vt:lpstr>VR5500_PDTCALC!Buck3_Imax</vt:lpstr>
      <vt:lpstr>VR5500_PDTCALC!Cin_Boost</vt:lpstr>
      <vt:lpstr>VR5500_PDTCALC!Cin_Buck1</vt:lpstr>
      <vt:lpstr>VR5500_PDTCALC!Cin_Buck2</vt:lpstr>
      <vt:lpstr>VR5500_PDTCALC!Cin_Buck3</vt:lpstr>
      <vt:lpstr>VR5500_PDTCALC!Cin_Vpre</vt:lpstr>
      <vt:lpstr>VR5500_PDTCALC!Cout_Boost</vt:lpstr>
      <vt:lpstr>VR5500_PDTCALC!Cout_Buck1</vt:lpstr>
      <vt:lpstr>VR5500_PDTCALC!Cout_Buck2</vt:lpstr>
      <vt:lpstr>VR5500_PDTCALC!Cout_Buck3</vt:lpstr>
      <vt:lpstr>VR5500_PDTCALC!Cout_Vpre</vt:lpstr>
      <vt:lpstr>VR5500_PDTCALC!DCR_L_Boost</vt:lpstr>
      <vt:lpstr>VR5500_PDTCALC!DCR_L_Buck1</vt:lpstr>
      <vt:lpstr>VR5500_PDTCALC!DCR_L_Buck2</vt:lpstr>
      <vt:lpstr>VR5500_PDTCALC!DCR_L_Buck3</vt:lpstr>
      <vt:lpstr>VR5500_PDTCALC!DCR_L_Vpre</vt:lpstr>
      <vt:lpstr>DCR_PI_filter</vt:lpstr>
      <vt:lpstr>VR5500_PDTCALC!Delta_Il_Boost</vt:lpstr>
      <vt:lpstr>VR5500_PDTCALC!Delta_Il_Buck1</vt:lpstr>
      <vt:lpstr>VR5500_PDTCALC!Delta_Il_Buck2</vt:lpstr>
      <vt:lpstr>VR5500_PDTCALC!Delta_IL_Buck3</vt:lpstr>
      <vt:lpstr>VR5500_PDTCALC!Delta_Il_Vpre</vt:lpstr>
      <vt:lpstr>VR5500_PDTCALC!Duty_Cycle_Boost</vt:lpstr>
      <vt:lpstr>VR5500_PDTCALC!Duty_Cycle_Buck1</vt:lpstr>
      <vt:lpstr>VR5500_PDTCALC!Duty_Cycle_Buck2</vt:lpstr>
      <vt:lpstr>VR5500_PDTCALC!Duty_Cycle_Buck3</vt:lpstr>
      <vt:lpstr>VR5500_PDTCALC!Duty_Cycle_Vpre</vt:lpstr>
      <vt:lpstr>VR5500_PDTCALC!Eff_Boost</vt:lpstr>
      <vt:lpstr>VR5500_PDTCALC!Eff_Buck1</vt:lpstr>
      <vt:lpstr>VR5500_PDTCALC!Eff_Buck2</vt:lpstr>
      <vt:lpstr>VR5500_PDTCALC!Eff_Buck3</vt:lpstr>
      <vt:lpstr>VR5500_PDTCALC!Eff_LDO1</vt:lpstr>
      <vt:lpstr>VR5500_PDTCALC!Eff_LDO2</vt:lpstr>
      <vt:lpstr>VR5500_PDTCALC!Eff_Vpre</vt:lpstr>
      <vt:lpstr>VR5500_PDTCALC!ESR_Cin_Boost</vt:lpstr>
      <vt:lpstr>VR5500_PDTCALC!ESR_Cin_Buck1</vt:lpstr>
      <vt:lpstr>VR5500_PDTCALC!ESR_Cin_Buck2</vt:lpstr>
      <vt:lpstr>VR5500_PDTCALC!ESR_Cin_Buck3</vt:lpstr>
      <vt:lpstr>VR5500_PDTCALC!ESR_Cin_Vpre</vt:lpstr>
      <vt:lpstr>VR5500_PDTCALC!ESR_Cout_Boost</vt:lpstr>
      <vt:lpstr>VR5500_PDTCALC!ESR_Cout_Buck1</vt:lpstr>
      <vt:lpstr>VR5500_PDTCALC!ESR_Cout_Buck2</vt:lpstr>
      <vt:lpstr>VR5500_PDTCALC!ESR_Cout_Buck3</vt:lpstr>
      <vt:lpstr>VR5500_PDTCALC!ESR_Cout_Vpre</vt:lpstr>
      <vt:lpstr>VR5500_PDTCALC!FSW_Boost</vt:lpstr>
      <vt:lpstr>VR5500_PDTCALC!FSW_Buck1</vt:lpstr>
      <vt:lpstr>VR5500_PDTCALC!FSW_Buck2</vt:lpstr>
      <vt:lpstr>VR5500_PDTCALC!FSW_Buck3</vt:lpstr>
      <vt:lpstr>VR5500_PDTCALC!FSW_Vpre</vt:lpstr>
      <vt:lpstr>VR5500_PDTCALC!GHS_Buck1</vt:lpstr>
      <vt:lpstr>VR5500_PDTCALC!GHS_Buck2</vt:lpstr>
      <vt:lpstr>VR5500_PDTCALC!GHS_Buck3</vt:lpstr>
      <vt:lpstr>VR5500_PDTCALC!GHS_Vpre</vt:lpstr>
      <vt:lpstr>VR5500_PDTCALC!GLS_Boost</vt:lpstr>
      <vt:lpstr>VR5500_PDTCALC!GLS_Buck1</vt:lpstr>
      <vt:lpstr>VR5500_PDTCALC!GLS_Buck2</vt:lpstr>
      <vt:lpstr>VR5500_PDTCALC!GLS_Buck3</vt:lpstr>
      <vt:lpstr>VR5500_PDTCALC!GLS_Vpre</vt:lpstr>
      <vt:lpstr>HS_Igate_Vpre</vt:lpstr>
      <vt:lpstr>HS_QGD_Vpre</vt:lpstr>
      <vt:lpstr>HS_QGS_Vpre</vt:lpstr>
      <vt:lpstr>VR5500_PDTCALC!HS_Rdson_Buck1</vt:lpstr>
      <vt:lpstr>VR5500_PDTCALC!HS_Rdson_Buck2</vt:lpstr>
      <vt:lpstr>VR5500_PDTCALC!HS_Rdson_Buck3</vt:lpstr>
      <vt:lpstr>VR5500_PDTCALC!HS_Rdson_Vpre</vt:lpstr>
      <vt:lpstr>VR5500_PDTCALC!I_LDO1</vt:lpstr>
      <vt:lpstr>VR5500_PDTCALC!I_LDO2</vt:lpstr>
      <vt:lpstr>I_LDO3</vt:lpstr>
      <vt:lpstr>I_LDO4</vt:lpstr>
      <vt:lpstr>VR5500_PDTCALC!Iboost</vt:lpstr>
      <vt:lpstr>Iboost_add</vt:lpstr>
      <vt:lpstr>VR5500_PDTCALC!Iboost_in</vt:lpstr>
      <vt:lpstr>Iboost_tot</vt:lpstr>
      <vt:lpstr>VR5500_PDTCALC!Ibuck1</vt:lpstr>
      <vt:lpstr>VR5500_PDTCALC!Ibuck2</vt:lpstr>
      <vt:lpstr>VR5500_PDTCALC!Ibuck3</vt:lpstr>
      <vt:lpstr>VR5500_PDTCALC!Ibuck3_tot</vt:lpstr>
      <vt:lpstr>VR5500_PDTCALC!Ipeak_Boost</vt:lpstr>
      <vt:lpstr>VR5500_PDTCALC!Ipeak_Buck1</vt:lpstr>
      <vt:lpstr>VR5500_PDTCALC!Ipeak_Buck2</vt:lpstr>
      <vt:lpstr>VR5500_PDTCALC!Ipeak_Buck3</vt:lpstr>
      <vt:lpstr>VR5500_PDTCALC!Ipeak_Vpre</vt:lpstr>
      <vt:lpstr>VR5500_PDTCALC!Ipre</vt:lpstr>
      <vt:lpstr>VR5500_PDTCALC!Ipre_add</vt:lpstr>
      <vt:lpstr>ISUP</vt:lpstr>
      <vt:lpstr>VR5500_PDTCALC!L_Boost</vt:lpstr>
      <vt:lpstr>VR5500_PDTCALC!L_Buck1</vt:lpstr>
      <vt:lpstr>VR5500_PDTCALC!L_Buck2</vt:lpstr>
      <vt:lpstr>VR5500_PDTCALC!L_Buck3</vt:lpstr>
      <vt:lpstr>VR5500_PDTCALC!L_Vpre</vt:lpstr>
      <vt:lpstr>VR5500_PDTCALC!LDO1_Imax</vt:lpstr>
      <vt:lpstr>VR5500_PDTCALC!LDO1_in</vt:lpstr>
      <vt:lpstr>VR5500_PDTCALC!LDO2_Imax</vt:lpstr>
      <vt:lpstr>LDO3_in</vt:lpstr>
      <vt:lpstr>LDO3_out</vt:lpstr>
      <vt:lpstr>LDO4_in</vt:lpstr>
      <vt:lpstr>LDO4_out</vt:lpstr>
      <vt:lpstr>LS_Igate_Vpre</vt:lpstr>
      <vt:lpstr>LS_QGD_Vpre</vt:lpstr>
      <vt:lpstr>LS_QGS_Vpre</vt:lpstr>
      <vt:lpstr>VR5500_PDTCALC!LS_Rdson_Boost</vt:lpstr>
      <vt:lpstr>VR5500_PDTCALC!LS_Rdson_Buck1</vt:lpstr>
      <vt:lpstr>VR5500_PDTCALC!LS_Rdson_Buck2</vt:lpstr>
      <vt:lpstr>VR5500_PDTCALC!LS_Rdson_Buck3</vt:lpstr>
      <vt:lpstr>VR5500_PDTCALC!LS_Rdson_Vpre</vt:lpstr>
      <vt:lpstr>LS_SlewRate</vt:lpstr>
      <vt:lpstr>VR5500_PDTCALC!P_Cin_Boost</vt:lpstr>
      <vt:lpstr>VR5500_PDTCALC!P_Cin_Buck1</vt:lpstr>
      <vt:lpstr>VR5500_PDTCALC!P_Cin_Buck2</vt:lpstr>
      <vt:lpstr>VR5500_PDTCALC!P_Cin_Buck3</vt:lpstr>
      <vt:lpstr>VR5500_PDTCALC!P_Cin_Vpre</vt:lpstr>
      <vt:lpstr>VR5500_PDTCALC!P_Cout_Boost</vt:lpstr>
      <vt:lpstr>VR5500_PDTCALC!P_Cout_Buck1</vt:lpstr>
      <vt:lpstr>VR5500_PDTCALC!P_Cout_Buck2</vt:lpstr>
      <vt:lpstr>VR5500_PDTCALC!P_Cout_Buck3</vt:lpstr>
      <vt:lpstr>VR5500_PDTCALC!P_Cout_Vpre</vt:lpstr>
      <vt:lpstr>VR5500_PDTCALC!P_diode_Boost</vt:lpstr>
      <vt:lpstr>VR5500_PDTCALC!P_HS_Cond_Buck1</vt:lpstr>
      <vt:lpstr>VR5500_PDTCALC!P_HS_cond_Buck2</vt:lpstr>
      <vt:lpstr>VR5500_PDTCALC!P_HS_cond_Buck3</vt:lpstr>
      <vt:lpstr>VR5500_PDTCALC!P_HS_Cond_Vpre</vt:lpstr>
      <vt:lpstr>VR5500_PDTCALC!P_HS_sw_Buck1</vt:lpstr>
      <vt:lpstr>VR5500_PDTCALC!P_HS_sw_Buck2</vt:lpstr>
      <vt:lpstr>VR5500_PDTCALC!P_HS_sw_Buck3</vt:lpstr>
      <vt:lpstr>VR5500_PDTCALC!P_HS_sw_Vpre</vt:lpstr>
      <vt:lpstr>VR5500_PDTCALC!P_L_Boost</vt:lpstr>
      <vt:lpstr>VR5500_PDTCALC!P_L_Buck1</vt:lpstr>
      <vt:lpstr>VR5500_PDTCALC!P_L_Buck2</vt:lpstr>
      <vt:lpstr>VR5500_PDTCALC!P_L_Buck3</vt:lpstr>
      <vt:lpstr>VR5500_PDTCALC!P_L_Vpre</vt:lpstr>
      <vt:lpstr>VR5500_PDTCALC!P_LS_cond_Boost</vt:lpstr>
      <vt:lpstr>VR5500_PDTCALC!P_LS_Cond_Buck1</vt:lpstr>
      <vt:lpstr>VR5500_PDTCALC!P_LS_cond_Buck2</vt:lpstr>
      <vt:lpstr>VR5500_PDTCALC!P_LS_cond_Buck3</vt:lpstr>
      <vt:lpstr>VR5500_PDTCALC!P_LS_Cond_Vpre</vt:lpstr>
      <vt:lpstr>VR5500_PDTCALC!P_LS_sw_Boost</vt:lpstr>
      <vt:lpstr>VR5500_PDTCALC!P_LS_sw_Buck1</vt:lpstr>
      <vt:lpstr>VR5500_PDTCALC!P_LS_sw_Buck2</vt:lpstr>
      <vt:lpstr>VR5500_PDTCALC!P_LS_sw_Buck3</vt:lpstr>
      <vt:lpstr>VR5500_PDTCALC!P_LS_sw_Vpre</vt:lpstr>
      <vt:lpstr>VR5500_PDTCALC!P_R_Shunt</vt:lpstr>
      <vt:lpstr>VR5500_PDTCALC!Pdis_IC_Boost</vt:lpstr>
      <vt:lpstr>VR5500_PDTCALC!Pdis_IC_Buck1</vt:lpstr>
      <vt:lpstr>VR5500_PDTCALC!Pdis_IC_Buck2</vt:lpstr>
      <vt:lpstr>VR5500_PDTCALC!Pdis_IC_Buck3</vt:lpstr>
      <vt:lpstr>VR5500_PDTCALC!Pdis_IC_LDO1</vt:lpstr>
      <vt:lpstr>VR5500_PDTCALC!Pdis_IC_LDO2</vt:lpstr>
      <vt:lpstr>VR5500_PDTCALC!Pdis_IC_Vpre</vt:lpstr>
      <vt:lpstr>VR5500_PDTCALC!Pdis_Int_IC</vt:lpstr>
      <vt:lpstr>VR5500_PDTCALC!Pdis_LDO3</vt:lpstr>
      <vt:lpstr>Pdis_LDO3</vt:lpstr>
      <vt:lpstr>VR5500_PDTCALC!Pdis_LDO4</vt:lpstr>
      <vt:lpstr>Pdis_LDO4</vt:lpstr>
      <vt:lpstr>VR5500_PDTCALC!Pdis_PI_filter</vt:lpstr>
      <vt:lpstr>Pdis_PI_filter</vt:lpstr>
      <vt:lpstr>VR5500_PDTCALC!Pdis_RB_diode</vt:lpstr>
      <vt:lpstr>Pdis_RB_diode</vt:lpstr>
      <vt:lpstr>VR5500_PDTCALC!Pdis_tot_Boost</vt:lpstr>
      <vt:lpstr>VR5500_PDTCALC!Pdis_tot_Buck1</vt:lpstr>
      <vt:lpstr>VR5500_PDTCALC!Pdis_tot_Buck2</vt:lpstr>
      <vt:lpstr>VR5500_PDTCALC!Pdis_tot_Buck3</vt:lpstr>
      <vt:lpstr>VR5500_PDTCALC!Pdis_tot_Vpre</vt:lpstr>
      <vt:lpstr>VR5500_PDTCALC!Pout_Boost</vt:lpstr>
      <vt:lpstr>VR5500_PDTCALC!Pout_Buck1</vt:lpstr>
      <vt:lpstr>VR5500_PDTCALC!Pout_Buck2</vt:lpstr>
      <vt:lpstr>VR5500_PDTCALC!Pout_Buck3</vt:lpstr>
      <vt:lpstr>VR5500_PDTCALC!Pout_LDO1</vt:lpstr>
      <vt:lpstr>VR5500_PDTCALC!Pout_LDO2</vt:lpstr>
      <vt:lpstr>VR5500_PDTCALC!Pout_LDO3</vt:lpstr>
      <vt:lpstr>Pout_LDO3</vt:lpstr>
      <vt:lpstr>VR5500_PDTCALC!Pout_LDO4</vt:lpstr>
      <vt:lpstr>Pout_LDO4</vt:lpstr>
      <vt:lpstr>VR5500_PDTCALC!Pout_Vpre</vt:lpstr>
      <vt:lpstr>VR5500_PDTCALC!QHS_Buck1</vt:lpstr>
      <vt:lpstr>VR5500_PDTCALC!QHS_Buck2</vt:lpstr>
      <vt:lpstr>VR5500_PDTCALC!QHS_Buck3</vt:lpstr>
      <vt:lpstr>VR5500_PDTCALC!QHS_Vpre</vt:lpstr>
      <vt:lpstr>VR5500_PDTCALC!QLS_Boost</vt:lpstr>
      <vt:lpstr>VR5500_PDTCALC!QLS_Buck1</vt:lpstr>
      <vt:lpstr>VR5500_PDTCALC!QLS_Buck2</vt:lpstr>
      <vt:lpstr>VR5500_PDTCALC!QLS_Buck3</vt:lpstr>
      <vt:lpstr>VR5500_PDTCALC!QLS_VPRE</vt:lpstr>
      <vt:lpstr>RB_diode</vt:lpstr>
      <vt:lpstr>VR5500_PDTCALC!Rg</vt:lpstr>
      <vt:lpstr>VR5500_PDTCALC!Ripple_Boost</vt:lpstr>
      <vt:lpstr>VR5500_PDTCALC!Ripple_Buck1</vt:lpstr>
      <vt:lpstr>VR5500_PDTCALC!Ripple_Buck2</vt:lpstr>
      <vt:lpstr>VR5500_PDTCALC!Ripple_Buck3</vt:lpstr>
      <vt:lpstr>VR5500_PDTCALC!Ripple_vpre</vt:lpstr>
      <vt:lpstr>VR5500_PDTCALC!Rpd</vt:lpstr>
      <vt:lpstr>VR5500_PDTCALC!Rpu</vt:lpstr>
      <vt:lpstr>VR5500_PDTCALC!RTH_ja</vt:lpstr>
      <vt:lpstr>VR5500_PDTCALC!THS_sw_Buck1</vt:lpstr>
      <vt:lpstr>VR5500_PDTCALC!THS_sw_Buck2</vt:lpstr>
      <vt:lpstr>VR5500_PDTCALC!THS_sw_Buck3</vt:lpstr>
      <vt:lpstr>VR5500_PDTCALC!THS_sw_Vpre</vt:lpstr>
      <vt:lpstr>VR5500_PDTCALC!TJ_max</vt:lpstr>
      <vt:lpstr>VR5500_PDTCALC!TLS_sw_Boost</vt:lpstr>
      <vt:lpstr>VR5500_PDTCALC!TLS_sw_Buck1</vt:lpstr>
      <vt:lpstr>VR5500_PDTCALC!TLS_sw_Buck2</vt:lpstr>
      <vt:lpstr>VR5500_PDTCALC!TLS_sw_Buck3</vt:lpstr>
      <vt:lpstr>VR5500_PDTCALC!TLS_sw_Vpre</vt:lpstr>
      <vt:lpstr>VR5500_PDTCALC!Vdiode_Boost</vt:lpstr>
      <vt:lpstr>VR5500_PDTCALC!VLDO1</vt:lpstr>
      <vt:lpstr>VR5500_PDTCALC!VLDO2</vt:lpstr>
      <vt:lpstr>VR5500_PDTCALC!Vpre</vt:lpstr>
      <vt:lpstr>VR5500_PDTCALC!Vpre_Imax</vt:lpstr>
      <vt:lpstr>VR5500_PDTCALC!Vsup</vt:lpstr>
    </vt:vector>
  </TitlesOfParts>
  <Company>Freescale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b19789</dc:creator>
  <cp:lastModifiedBy>Claudia Isela Americano Franco</cp:lastModifiedBy>
  <cp:lastPrinted>2013-11-12T10:59:10Z</cp:lastPrinted>
  <dcterms:created xsi:type="dcterms:W3CDTF">2008-10-13T15:46:26Z</dcterms:created>
  <dcterms:modified xsi:type="dcterms:W3CDTF">2020-01-14T18:25:56Z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0x0101000FE256836E8651459990BF5B13FE0674</vt:lpwstr>
  </property>
</Properties>
</file>