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xp1.sharepoint.com/teams/203_43/Shared Documents/FS2600/03. COLLATERAL/03. DESIGN TOOLS/04. PDTCALC/"/>
    </mc:Choice>
  </mc:AlternateContent>
  <xr:revisionPtr revIDLastSave="66" documentId="13_ncr:1_{C527812A-E871-4318-B722-630189892192}" xr6:coauthVersionLast="47" xr6:coauthVersionMax="47" xr10:uidLastSave="{4EEA1E0D-3028-4370-897F-2D4A85381E26}"/>
  <workbookProtection workbookAlgorithmName="SHA-512" workbookHashValue="tV6w9P+61diJCFouwMSnOeq0hDhNkGOM+qGWPBjaDRL44zx+VrUYEmc2CMCqgQ6otM0BawphsAvHm2rVyEIEJA==" workbookSaltValue="tTAG1zeNv0jSU/b5ObyNGA==" workbookSpinCount="100000" lockStructure="1"/>
  <bookViews>
    <workbookView xWindow="-108" yWindow="-108" windowWidth="23256" windowHeight="12576" tabRatio="704" activeTab="3" xr2:uid="{00000000-000D-0000-FFFF-FFFF00000000}"/>
  </bookViews>
  <sheets>
    <sheet name="Document_Details" sheetId="13" r:id="rId1"/>
    <sheet name="Revision_History" sheetId="12" r:id="rId2"/>
    <sheet name="User_Guide" sheetId="11" r:id="rId3"/>
    <sheet name="FS26_PDTCALC" sheetId="18" r:id="rId4"/>
    <sheet name="Pull Down List" sheetId="22" state="hidden" r:id="rId5"/>
  </sheets>
  <definedNames>
    <definedName name="Battery_Line_Voltage">FS26_PDTCALC!$K$8</definedName>
    <definedName name="Boost_Additional_output_Current">FS26_PDTCALC!$R$20</definedName>
    <definedName name="Boost_Cin">FS26_PDTCALC!$L$14/0.000001</definedName>
    <definedName name="Boost_Cin_ESR">FS26_PDTCALC!$L$15/1000</definedName>
    <definedName name="Boost_Cout">FS26_PDTCALC!$L$16*0.000001</definedName>
    <definedName name="Boost_Cout_ESR">FS26_PDTCALC!$L$17*0.001</definedName>
    <definedName name="Boost_Delta_IL">FS26_PDTCALC!$R$32</definedName>
    <definedName name="Boost_Duty_Cycle">FS26_PDTCALC!$R$31</definedName>
    <definedName name="Boost_eff">FS26_PDTCALC!$L$41</definedName>
    <definedName name="Boost_enable">FS26_PDTCALC!$R$15</definedName>
    <definedName name="Boost_Frequency">FS26_PDTCALC!$R$24*1000</definedName>
    <definedName name="Boost_Gate_Current">FS26_PDTCALC!$O$14*0.001</definedName>
    <definedName name="Boost_gate_driver_Ciss_s1">FS26_PDTCALC!$O$17*0.000000000001</definedName>
    <definedName name="Boost_gate_driver_Ciss_s2">FS26_PDTCALC!$O$19*0.000000000001</definedName>
    <definedName name="Boost_gate_driver_Coss_s1">FS26_PDTCALC!$O$16*0.000000000001</definedName>
    <definedName name="Boost_gate_driver_Coss_s2">FS26_PDTCALC!$O$18*0.000000000001</definedName>
    <definedName name="Boost_Input_Current">FS26_PDTCALC!$R$17</definedName>
    <definedName name="Boost_Input_Voltage">FS26_PDTCALC!$R$16</definedName>
    <definedName name="Boost_Ipeak">FS26_PDTCALC!$R$33</definedName>
    <definedName name="Boost_Ivalley">FS26_PDTCALC!$R$34</definedName>
    <definedName name="Boost_L">FS26_PDTCALC!$L$18*0.000001</definedName>
    <definedName name="Boost_L_DCR">FS26_PDTCALC!$L$19*0.001</definedName>
    <definedName name="Boost_LS_Ciss">FS26_PDTCALC!$L$27*0.000000000001</definedName>
    <definedName name="Boost_LS_Qgd">FS26_PDTCALC!$L$24*0.000000001</definedName>
    <definedName name="Boost_LS_Qgs">FS26_PDTCALC!$L$23*0.000000001</definedName>
    <definedName name="Boost_LS_Qsw">FS26_PDTCALC!$L$26*0.000000001</definedName>
    <definedName name="Boost_LS_Qth">FS26_PDTCALC!$L$25*0.000000001</definedName>
    <definedName name="Boost_LS_RDSON">FS26_PDTCALC!$L$21*0.001</definedName>
    <definedName name="Boost_mode">FS26_PDTCALC!$R$14</definedName>
    <definedName name="Boost_output_Current">FS26_PDTCALC!$R$19</definedName>
    <definedName name="Boost_Output_Voltage">FS26_PDTCALC!$R$18</definedName>
    <definedName name="Boost_P_Cin">FS26_PDTCALC!$L$32</definedName>
    <definedName name="Boost_P_Cout">FS26_PDTCALC!$L$33</definedName>
    <definedName name="Boost_P_diode">FS26_PDTCALC!$L$34</definedName>
    <definedName name="Boost_P_L">FS26_PDTCALC!$L$35</definedName>
    <definedName name="Boost_P_LS_cond">FS26_PDTCALC!$L$36</definedName>
    <definedName name="Boost_P_LS_sw">FS26_PDTCALC!$L$37</definedName>
    <definedName name="Boost_P_Rsense">FS26_PDTCALC!$L$38</definedName>
    <definedName name="Boost_Pdis_IC">FS26_PDTCALC!$L$40</definedName>
    <definedName name="Boost_Pdis_tot">FS26_PDTCALC!$L$39</definedName>
    <definedName name="Boost_Pgl_s1_s2">FS26_PDTCALC!$O$32</definedName>
    <definedName name="Boost_Pout">FS26_PDTCALC!$L$31</definedName>
    <definedName name="Boost_Prms_s1_s2">FS26_PDTCALC!$O$33</definedName>
    <definedName name="Boost_Psl_s1_s2">FS26_PDTCALC!$O$31</definedName>
    <definedName name="Boost_Rsense">FS26_PDTCALC!$L$28*0.001</definedName>
    <definedName name="Boost_SW_Rise_time">FS26_PDTCALC!$R$25*0.000000001</definedName>
    <definedName name="Boost_Total_Output_Current">FS26_PDTCALC!$R$21</definedName>
    <definedName name="Boost_Vdiode">FS26_PDTCALC!$L$20</definedName>
    <definedName name="Conduction_MODE">FS26_PDTCALC!$R$37</definedName>
    <definedName name="D_CCM">FS26_PDTCALC!$W$33</definedName>
    <definedName name="D_DCM">FS26_PDTCALC!$U$33</definedName>
    <definedName name="delta_IL_CCM">FS26_PDTCALC!$W$37</definedName>
    <definedName name="delta_IL_DCM">FS26_PDTCALC!$U$37</definedName>
    <definedName name="I_peak_CCM">FS26_PDTCALC!$W$35</definedName>
    <definedName name="I_peak_DCM">FS26_PDTCALC!$U$35</definedName>
    <definedName name="IBOS_Core_biasing">FS26_PDTCALC!$C$30/1000</definedName>
    <definedName name="IBOS_DCDC">FS26_PDTCALC!$C$27/1000</definedName>
    <definedName name="IBOS_others">FS26_PDTCALC!$C$28/1000</definedName>
    <definedName name="IBOS_tot">FS26_PDTCALC!$C$29/1000</definedName>
    <definedName name="IBOS_TRK1">FS26_PDTCALC!$L$67</definedName>
    <definedName name="IBOS_TRK2">FS26_PDTCALC!$O$67</definedName>
    <definedName name="IBOS_VREF">FS26_PDTCALC!$R$51</definedName>
    <definedName name="Iin_CCM">FS26_PDTCALC!$W$39</definedName>
    <definedName name="Iin_DCM">FS26_PDTCALC!$U$39</definedName>
    <definedName name="kilo">FS26_PDTCALC!$Y$34</definedName>
    <definedName name="L_coil">FS26_PDTCALC!$L$18</definedName>
    <definedName name="Ldo1_Imax">FS26_PDTCALC!$K$4/1000</definedName>
    <definedName name="Ldo1_Iout">FS26_PDTCALC!$L$49/1000</definedName>
    <definedName name="LDO1_PDIS_IC">FS26_PDTCALC!$L$53</definedName>
    <definedName name="LDO1_Pout">FS26_PDTCALC!$L$52</definedName>
    <definedName name="Ldo1_Vin">FS26_PDTCALC!$L$47</definedName>
    <definedName name="Ldo1_Vout">FS26_PDTCALC!$L$48</definedName>
    <definedName name="Ldo2_Imax">FS26_PDTCALC!$L$4/1000</definedName>
    <definedName name="Ldo2_Iout">FS26_PDTCALC!$O$49/1000</definedName>
    <definedName name="LDO2_PDIS_IC">FS26_PDTCALC!$O$53</definedName>
    <definedName name="LDO2_Pout">FS26_PDTCALC!$O$52</definedName>
    <definedName name="Ldo2_Vin">FS26_PDTCALC!$O$47</definedName>
    <definedName name="Ldo2_Vout">FS26_PDTCALC!$O$48</definedName>
    <definedName name="Ldoref_Vout">FS26_PDTCALC!$O$56</definedName>
    <definedName name="LS_Qgtot">FS26_PDTCALC!$L$22*0.000000001</definedName>
    <definedName name="micro">FS26_PDTCALC!$Y$32</definedName>
    <definedName name="milli">FS26_PDTCALC!$Y$33</definedName>
    <definedName name="Pdis_Int_IC">FS26_PDTCALC!$U$22</definedName>
    <definedName name="Pdis_tot_IC">FS26_PDTCALC!$U$26</definedName>
    <definedName name="RBD_Voltage_Drop">FS26_PDTCALC!$K$9</definedName>
    <definedName name="Rth_ja">FS26_PDTCALC!$U$3</definedName>
    <definedName name="t_2">FS26_PDTCALC!$U$41</definedName>
    <definedName name="Ta_max">FS26_PDTCALC!$U$4</definedName>
    <definedName name="Tj">FS26_PDTCALC!$F$8</definedName>
    <definedName name="Tj_max">FS26_PDTCALC!$U$5</definedName>
    <definedName name="Trk1_Imax">FS26_PDTCALC!$N$4</definedName>
    <definedName name="Trk1_Iout">FS26_PDTCALC!$L$65*0.001</definedName>
    <definedName name="TRK1_PDIS_IC">FS26_PDTCALC!$L$69</definedName>
    <definedName name="TRK1_Pout">FS26_PDTCALC!$L$68</definedName>
    <definedName name="TRK1_REF">FS26_PDTCALC!$L$62</definedName>
    <definedName name="Trk1_Rev_Rdson">FS26_PDTCALC!$L$64</definedName>
    <definedName name="Trk1_Vin">FS26_PDTCALC!$L$61</definedName>
    <definedName name="Trk1_Vout">FS26_PDTCALC!$L$63</definedName>
    <definedName name="Trk2_Imax">FS26_PDTCALC!$O$4</definedName>
    <definedName name="Trk2_Iout">FS26_PDTCALC!$O$65*0.001</definedName>
    <definedName name="TRK2_PDIS_IC">FS26_PDTCALC!$O$69</definedName>
    <definedName name="TRK2_Pout">FS26_PDTCALC!$O$68</definedName>
    <definedName name="TRK2_REF">FS26_PDTCALC!$O$62</definedName>
    <definedName name="Trk2_Rev_Rdson">FS26_PDTCALC!$O$64</definedName>
    <definedName name="Trk2_Vin">FS26_PDTCALC!$O$61</definedName>
    <definedName name="Trk2_Vout">FS26_PDTCALC!$O$63</definedName>
    <definedName name="VBOS">FS26_PDTCALC!$R$8</definedName>
    <definedName name="VBOS_IN">FS26_PDTCALC!$C$26</definedName>
    <definedName name="Vcore_Cin">FS26_PDTCALC!$C$47*0.000001</definedName>
    <definedName name="Vcore_Cin_ESR">FS26_PDTCALC!$C$48/1000</definedName>
    <definedName name="Vcore_Cout">FS26_PDTCALC!$C$49*0.000001</definedName>
    <definedName name="Vcore_Cout_ESR">FS26_PDTCALC!$C$50/1000</definedName>
    <definedName name="Vcore_Dead_time_falling">FS26_PDTCALC!$I$60*0.000000001</definedName>
    <definedName name="Vcore_Dead_time_rising">FS26_PDTCALC!$I$59*0.000000001</definedName>
    <definedName name="Vcore_Delta_IL">FS26_PDTCALC!$I$64</definedName>
    <definedName name="Vcore_Duty_Cycle">FS26_PDTCALC!$I$63</definedName>
    <definedName name="Vcore_Eff">FS26_PDTCALC!$C$73</definedName>
    <definedName name="Vcore_Frequency">FS26_PDTCALC!$I$55*1000</definedName>
    <definedName name="Vcore_HS_drive_voltage">FS26_PDTCALC!$F$51</definedName>
    <definedName name="Vcore_HS_Fall_Time">FS26_PDTCALC!$F$50*0.000000001</definedName>
    <definedName name="Vcore_HS_Output_Capacitance">FS26_PDTCALC!$F$52*0.000000000001</definedName>
    <definedName name="Vcore_HS_Qg">FS26_PDTCALC!$F$48*0.000000001</definedName>
    <definedName name="Vcore_HS_Rdson">FS26_PDTCALC!$F$47*0.001</definedName>
    <definedName name="Vcore_HS_Rise_Time">FS26_PDTCALC!$F$49*0.000000001</definedName>
    <definedName name="Vcore_Imax">FS26_PDTCALC!$F$4</definedName>
    <definedName name="Vcore_Input_Current">FS26_PDTCALC!$I$48</definedName>
    <definedName name="Vcore_input_voltage">FS26_PDTCALC!$I$47</definedName>
    <definedName name="Vcore_L">FS26_PDTCALC!$C$51*0.000001</definedName>
    <definedName name="Vcore_L_DCR">FS26_PDTCALC!$C$52*0.001</definedName>
    <definedName name="Vcore_LS_Body_Diode_Voltage">FS26_PDTCALC!$F$58</definedName>
    <definedName name="Vcore_LS_drive_voltage">FS26_PDTCALC!$F$59</definedName>
    <definedName name="Vcore_LS_Fall_Time">FS26_PDTCALC!$F$57*0.000000001</definedName>
    <definedName name="Vcore_LS_Output_Capacitance">FS26_PDTCALC!$F$60*0.000000000001</definedName>
    <definedName name="Vcore_LS_Qg">FS26_PDTCALC!$F$55*0.000000001</definedName>
    <definedName name="Vcore_LS_QRR">FS26_PDTCALC!$F$61*0.000000001</definedName>
    <definedName name="Vcore_LS_Rdson">FS26_PDTCALC!$F$54*0.001</definedName>
    <definedName name="Vcore_LS_Rise_Time">FS26_PDTCALC!$F$56*0.000000001</definedName>
    <definedName name="Vcore_Output_current">FS26_PDTCALC!$I$50</definedName>
    <definedName name="Vcore_output_voltage">FS26_PDTCALC!$I$49</definedName>
    <definedName name="Vcore_P_CIN">FS26_PDTCALC!$C$65</definedName>
    <definedName name="Vcore_P_COUT">FS26_PDTCALC!$C$66</definedName>
    <definedName name="Vcore_P_dead_time">FS26_PDTCALC!$F$72</definedName>
    <definedName name="Vcore_P_HS_cond">FS26_PDTCALC!$F$64</definedName>
    <definedName name="Vcore_P_HS_coss">FS26_PDTCALC!$F$66</definedName>
    <definedName name="Vcore_P_HS_g">FS26_PDTCALC!$F$67</definedName>
    <definedName name="Vcore_P_HS_sw">FS26_PDTCALC!$F$65</definedName>
    <definedName name="Vcore_P_L">FS26_PDTCALC!$C$67</definedName>
    <definedName name="Vcore_P_LS_cond">FS26_PDTCALC!$F$68</definedName>
    <definedName name="Vcore_P_LS_coss">FS26_PDTCALC!$F$70</definedName>
    <definedName name="Vcore_P_LS_g">FS26_PDTCALC!$F$71</definedName>
    <definedName name="Vcore_P_LS_sw">FS26_PDTCALC!$F$69</definedName>
    <definedName name="Vcore_PDIS_IC">FS26_PDTCALC!$C$72</definedName>
    <definedName name="Vcore_Pdis_tot">FS26_PDTCALC!$C$71</definedName>
    <definedName name="Vcore_Period">FS26_PDTCALC!$I$56*0.000001</definedName>
    <definedName name="Vcore_Pout">FS26_PDTCALC!$C$63</definedName>
    <definedName name="Vcore_Toff">FS26_PDTCALC!$I$58*0.000001</definedName>
    <definedName name="Vcore_Ton">FS26_PDTCALC!$I$57*0.000001</definedName>
    <definedName name="Vcore_Total_Output_current">FS26_PDTCALC!$I$50</definedName>
    <definedName name="Vcore_Vout_Max">FS26_PDTCALC!$I$67/1000</definedName>
    <definedName name="Vcore_Vout_Min">FS26_PDTCALC!$I$66/1000</definedName>
    <definedName name="Vdiode_redefined">FS26_PDTCALC!$U$43</definedName>
    <definedName name="Vore_QHS">FS26_PDTCALC!$F$15/1000000000</definedName>
    <definedName name="Vpre_Additional_Output_current">FS26_PDTCALC!$I$19</definedName>
    <definedName name="Vpre_Cin">FS26_PDTCALC!$C$14*0.000001</definedName>
    <definedName name="Vpre_Cin_ESR">FS26_PDTCALC!$C$15/1000</definedName>
    <definedName name="Vpre_Cout">FS26_PDTCALC!$C$16*0.000001</definedName>
    <definedName name="Vpre_Cout_ESR">FS26_PDTCALC!$C$17/1000</definedName>
    <definedName name="Vpre_dcr_L">FS26_PDTCALC!$C$19*0.001</definedName>
    <definedName name="Vpre_Dead_time_falling">FS26_PDTCALC!$I$27/1000000000</definedName>
    <definedName name="Vpre_Dead_time_rising">FS26_PDTCALC!$I$26/1000000000</definedName>
    <definedName name="Vpre_Delta_IL">FS26_PDTCALC!$I$32</definedName>
    <definedName name="Vpre_Duty_Cycle">FS26_PDTCALC!$I$31</definedName>
    <definedName name="Vpre_Eff">FS26_PDTCALC!$C$41</definedName>
    <definedName name="Vpre_esr_Cin">FS26_PDTCALC!$C$15*0.001</definedName>
    <definedName name="Vpre_esr_Cout">FS26_PDTCALC!$C$17*0.001</definedName>
    <definedName name="Vpre_Frequency">FS26_PDTCALC!$I$22*1000</definedName>
    <definedName name="Vpre_HS_drive_voltage">FS26_PDTCALC!$F$18</definedName>
    <definedName name="Vpre_HS_fall_time">FS26_PDTCALC!$F$17/1000000000</definedName>
    <definedName name="Vpre_HS_Output_Capacitance">FS26_PDTCALC!$F$19/1000000000000</definedName>
    <definedName name="Vpre_HS_Qg">FS26_PDTCALC!$F$15/1000000000</definedName>
    <definedName name="Vpre_HS_Rdson">FS26_PDTCALC!$F$14/1000</definedName>
    <definedName name="Vpre_HS_rise_time">FS26_PDTCALC!$F$16/1000000000</definedName>
    <definedName name="Vpre_IL_Peak">FS26_PDTCALC!$I$33</definedName>
    <definedName name="Vpre_Imax">FS26_PDTCALC!$E$4</definedName>
    <definedName name="Vpre_input_current">FS26_PDTCALC!$I$15</definedName>
    <definedName name="Vpre_L">FS26_PDTCALC!$C$18/1000000</definedName>
    <definedName name="Vpre_L_DCR">FS26_PDTCALC!$C$19/1000</definedName>
    <definedName name="Vpre_LS_Body_Diode_Voltage">FS26_PDTCALC!$F$25</definedName>
    <definedName name="Vpre_LS_drive_voltage">FS26_PDTCALC!$F$26</definedName>
    <definedName name="Vpre_LS_fall_Time">FS26_PDTCALC!$F$24/1000000000</definedName>
    <definedName name="Vpre_LS_Output_Capacitance">FS26_PDTCALC!$F$27/1000000000000</definedName>
    <definedName name="Vpre_LS_Qg">FS26_PDTCALC!$F$22/1000000000</definedName>
    <definedName name="Vpre_LS_QRR">FS26_PDTCALC!$F$28*0.000000001</definedName>
    <definedName name="Vpre_LS_Rdson">FS26_PDTCALC!$F$21/1000</definedName>
    <definedName name="Vpre_LS_rise_Time">FS26_PDTCALC!$F$23/1000000000</definedName>
    <definedName name="Vpre_Output_current">FS26_PDTCALC!$I$18</definedName>
    <definedName name="Vpre_output_voltage">FS26_PDTCALC!$I$16</definedName>
    <definedName name="VPRE_P_CIN">FS26_PDTCALC!$C$33</definedName>
    <definedName name="VPRE_P_COUT">FS26_PDTCALC!$C$34</definedName>
    <definedName name="Vpre_P_dead_time">FS26_PDTCALC!$F$40</definedName>
    <definedName name="Vpre_P_HS_cond">FS26_PDTCALC!$F$32</definedName>
    <definedName name="Vpre_P_HS_coss">FS26_PDTCALC!$F$34</definedName>
    <definedName name="Vpre_P_HS_g">FS26_PDTCALC!$F$35</definedName>
    <definedName name="Vpre_P_HS_sw">FS26_PDTCALC!$F$33</definedName>
    <definedName name="VPRE_P_L">FS26_PDTCALC!$C$35</definedName>
    <definedName name="Vpre_P_LS_cond">FS26_PDTCALC!$F$36</definedName>
    <definedName name="Vpre_P_LS_coss">FS26_PDTCALC!$F$38</definedName>
    <definedName name="Vpre_P_LS_g">FS26_PDTCALC!$F$39</definedName>
    <definedName name="Vpre_P_LS_sw">FS26_PDTCALC!$F$37</definedName>
    <definedName name="Vpre_P_qrr">FS26_PDTCALC!$F$41</definedName>
    <definedName name="VPRE_PDIS_IC">FS26_PDTCALC!$C$40</definedName>
    <definedName name="VPRE_Pdis_tot">FS26_PDTCALC!$C$39</definedName>
    <definedName name="Vpre_Period">FS26_PDTCALC!$I$23/1000000</definedName>
    <definedName name="VPRE_Pout">FS26_PDTCALC!$C$31</definedName>
    <definedName name="Vpre_SR">FS26_PDTCALC!$C$21</definedName>
    <definedName name="Vpre_Toff">FS26_PDTCALC!$I$25*0.000001</definedName>
    <definedName name="Vpre_Ton">FS26_PDTCALC!$I$24/1000000</definedName>
    <definedName name="Vpre_Total_Output_current">FS26_PDTCALC!$I$20</definedName>
    <definedName name="Vpre_Vout_Max">FS26_PDTCALC!$I$35/1000</definedName>
    <definedName name="Vpre_Vout_Min">FS26_PDTCALC!$I$34/1000</definedName>
    <definedName name="Vpre_Vout_Rip">FS26_PDTCALC!$I$36/1000</definedName>
    <definedName name="Vref_Imax">FS26_PDTCALC!$Q$4/1000</definedName>
    <definedName name="VREF_in">FS26_PDTCALC!$R$47</definedName>
    <definedName name="Vref_Iout">FS26_PDTCALC!$R$49*0.001</definedName>
    <definedName name="Vref_output_current">FS26_PDTCALC!$R$49/1000</definedName>
    <definedName name="Vref_output_voltage">FS26_PDTCALC!$R$48</definedName>
    <definedName name="VREF_PDIS_IC">FS26_PDTCALC!$R$53</definedName>
    <definedName name="VREF_Pout">FS26_PDTCALC!$R$52</definedName>
    <definedName name="Vsup">FS26_PDTCALC!$I$14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4" i="18" l="1"/>
  <c r="O31" i="18" a="1"/>
  <c r="O31" i="18" s="1"/>
  <c r="R16" i="18" l="1"/>
  <c r="C27" i="18" l="1" a="1"/>
  <c r="C27" i="18" s="1"/>
  <c r="F54" i="18"/>
  <c r="F47" i="18"/>
  <c r="F21" i="18"/>
  <c r="F14" i="18"/>
  <c r="O67" i="18" l="1"/>
  <c r="L67" i="18"/>
  <c r="R51" i="18"/>
  <c r="C28" i="18" l="1"/>
  <c r="C30" i="18" l="1"/>
  <c r="I37" i="18" l="1"/>
  <c r="F34" i="18"/>
  <c r="R22" i="18"/>
  <c r="F35" i="18"/>
  <c r="U43" i="18"/>
  <c r="I60" i="18" l="1"/>
  <c r="I59" i="18"/>
  <c r="Y36" i="18" l="1" a="1"/>
  <c r="Y36" i="18" s="1"/>
  <c r="L26" i="18" l="1"/>
  <c r="R47" i="18" l="1"/>
  <c r="O47" i="18"/>
  <c r="L47" i="18"/>
  <c r="F39" i="18" l="1"/>
  <c r="F16" i="18" l="1"/>
  <c r="F17" i="18"/>
  <c r="F23" i="18"/>
  <c r="F24" i="18"/>
  <c r="R25" i="18" l="1"/>
  <c r="R26" i="18"/>
  <c r="F72" i="18"/>
  <c r="L52" i="18" l="1"/>
  <c r="R50" i="18" l="1"/>
  <c r="R52" i="18"/>
  <c r="O66" i="18"/>
  <c r="O63" i="18"/>
  <c r="L63" i="18"/>
  <c r="L68" i="18" l="1"/>
  <c r="L61" i="18"/>
  <c r="L69" i="18" s="1"/>
  <c r="U19" i="18" s="1"/>
  <c r="O68" i="18"/>
  <c r="O61" i="18"/>
  <c r="O69" i="18" s="1"/>
  <c r="U20" i="18" s="1"/>
  <c r="L66" i="18"/>
  <c r="F71" i="18" l="1"/>
  <c r="O50" i="18"/>
  <c r="L50" i="18"/>
  <c r="O52" i="18"/>
  <c r="L53" i="18" l="1"/>
  <c r="U17" i="18" s="1"/>
  <c r="F67" i="18" l="1"/>
  <c r="R53" i="18"/>
  <c r="U21" i="18" s="1"/>
  <c r="O53" i="18"/>
  <c r="U18" i="18" s="1"/>
  <c r="I56" i="18" l="1"/>
  <c r="I51" i="18"/>
  <c r="I47" i="18"/>
  <c r="F57" i="18" l="1"/>
  <c r="F56" i="18"/>
  <c r="F73" i="18"/>
  <c r="F50" i="18"/>
  <c r="F49" i="18"/>
  <c r="I63" i="18"/>
  <c r="I64" i="18" s="1"/>
  <c r="F66" i="18"/>
  <c r="F70" i="18"/>
  <c r="C63" i="18"/>
  <c r="F65" i="18" l="1"/>
  <c r="F68" i="18"/>
  <c r="F69" i="18"/>
  <c r="I57" i="18"/>
  <c r="I58" i="18"/>
  <c r="I23" i="18"/>
  <c r="C67" i="18" l="1"/>
  <c r="I66" i="18"/>
  <c r="C66" i="18"/>
  <c r="I67" i="18"/>
  <c r="C65" i="18"/>
  <c r="F64" i="18"/>
  <c r="I69" i="18"/>
  <c r="I65" i="18"/>
  <c r="C71" i="18" l="1"/>
  <c r="C73" i="18" s="1"/>
  <c r="C72" i="18"/>
  <c r="U16" i="18" s="1"/>
  <c r="I68" i="18"/>
  <c r="I21" i="18" l="1"/>
  <c r="I48" i="18"/>
  <c r="W16" i="18" l="1"/>
  <c r="F41" i="18" l="1"/>
  <c r="F38" i="18"/>
  <c r="C29" i="18"/>
  <c r="U22" i="18" l="1" a="1"/>
  <c r="U22" i="18" s="1"/>
  <c r="L40" i="18"/>
  <c r="U15" i="18" s="1"/>
  <c r="I18" i="18" l="1" a="1"/>
  <c r="I18" i="18" s="1"/>
  <c r="I20" i="18" s="1"/>
  <c r="F37" i="18" l="1"/>
  <c r="F40" i="18"/>
  <c r="F33" i="18"/>
  <c r="C31" i="18"/>
  <c r="I31" i="18"/>
  <c r="I24" i="18" l="1"/>
  <c r="I25" i="18"/>
  <c r="I32" i="18"/>
  <c r="C33" i="18" s="1"/>
  <c r="F36" i="18" l="1"/>
  <c r="F32" i="18"/>
  <c r="C40" i="18" s="1"/>
  <c r="I34" i="18"/>
  <c r="C34" i="18"/>
  <c r="I35" i="18"/>
  <c r="I36" i="18" s="1"/>
  <c r="C35" i="18"/>
  <c r="I33" i="18"/>
  <c r="U14" i="18" l="1"/>
  <c r="U26" i="18" s="1"/>
  <c r="U28" i="18" s="1"/>
  <c r="C39" i="18"/>
  <c r="C41" i="18" l="1"/>
  <c r="W14" i="18" l="1"/>
  <c r="I15" i="18"/>
  <c r="R19" i="18" l="1"/>
  <c r="R21" i="18" l="1"/>
  <c r="L31" i="18" s="1"/>
  <c r="U24" i="18" l="1"/>
  <c r="W33" i="18"/>
  <c r="W37" i="18" s="1"/>
  <c r="W35" i="18" s="1"/>
  <c r="R37" i="18" s="1"/>
  <c r="U35" i="18" a="1"/>
  <c r="U35" i="18" s="1"/>
  <c r="W39" i="18" l="1"/>
  <c r="R33" i="18"/>
  <c r="R31" i="18"/>
  <c r="W41" i="18" s="1" a="1"/>
  <c r="W41" i="18" s="1"/>
  <c r="R17" i="18"/>
  <c r="L37" i="18" s="1"/>
  <c r="U37" i="18"/>
  <c r="R32" i="18" s="1"/>
  <c r="L32" i="18" s="1"/>
  <c r="U33" i="18"/>
  <c r="U41" i="18" s="1"/>
  <c r="U39" i="18" s="1"/>
  <c r="R34" i="18" l="1"/>
  <c r="L34" i="18"/>
  <c r="L33" i="18"/>
  <c r="L35" i="18"/>
  <c r="L36" i="18" l="1"/>
  <c r="L38" i="18"/>
  <c r="L39" i="18" l="1"/>
  <c r="U25" i="18" l="1"/>
  <c r="U29" i="18" s="1"/>
  <c r="L41" i="18"/>
  <c r="W15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William Sanfins</author>
    <author>Mathieu Gondon</author>
    <author>maxime clairet</author>
  </authors>
  <commentList>
    <comment ref="I5" authorId="0" shapeId="0" xr:uid="{1B9440DB-BB00-4659-80FA-084E61715ADB}">
      <text>
        <r>
          <rPr>
            <sz val="9"/>
            <color indexed="81"/>
            <rFont val="Tahoma"/>
            <family val="2"/>
          </rPr>
          <t>Typical value.</t>
        </r>
      </text>
    </comment>
    <comment ref="B18" authorId="0" shapeId="0" xr:uid="{539697E1-9FC4-4593-95F5-E9116C4513FA}">
      <text>
        <r>
          <rPr>
            <sz val="9"/>
            <color indexed="81"/>
            <rFont val="Tahoma"/>
            <family val="2"/>
          </rPr>
          <t xml:space="preserve">For VPRE_Freq = 450 kHz, choose 10 µH. For VPRE_Freq = 2.2 MHz, choose 2.2 µH. </t>
        </r>
      </text>
    </comment>
    <comment ref="L22" authorId="1" shapeId="0" xr:uid="{3FA5D696-CDAF-4BB0-9AD7-8DCD4DC98F9A}">
      <text>
        <r>
          <rPr>
            <sz val="9"/>
            <color indexed="81"/>
            <rFont val="Tahoma"/>
            <family val="2"/>
          </rPr>
          <t xml:space="preserve">Qg(tot) of NTD5C688NL-D for VGS=4.5 V
</t>
        </r>
      </text>
    </comment>
    <comment ref="L23" authorId="1" shapeId="0" xr:uid="{037EF9CB-ABFB-490C-BCA5-526D35B73686}">
      <text>
        <r>
          <rPr>
            <sz val="9"/>
            <color indexed="81"/>
            <rFont val="Tahoma"/>
            <family val="2"/>
          </rPr>
          <t xml:space="preserve">Qg of NTD5C688NL-D for VGS=4.5 V
</t>
        </r>
      </text>
    </comment>
    <comment ref="L24" authorId="1" shapeId="0" xr:uid="{5F8E89DC-3AA9-4268-8B2E-1CDA088BB5A5}">
      <text>
        <r>
          <rPr>
            <sz val="9"/>
            <color indexed="81"/>
            <rFont val="Tahoma"/>
            <family val="2"/>
          </rPr>
          <t xml:space="preserve">Qgd of NTD5C688NL-D for VGS=4.5 V, VDS=30V, ID=10A
</t>
        </r>
      </text>
    </comment>
    <comment ref="L25" authorId="1" shapeId="0" xr:uid="{B0F24C6F-0E40-4A3D-BEBB-2B9EB35510FE}">
      <text>
        <r>
          <rPr>
            <sz val="9"/>
            <color indexed="81"/>
            <rFont val="Tahoma"/>
            <family val="2"/>
          </rPr>
          <t>Qth of NTD5C688NL-D for VGS=4.5 V
ID=10 A</t>
        </r>
      </text>
    </comment>
    <comment ref="T25" authorId="2" shapeId="0" xr:uid="{00000000-0006-0000-0400-000003000000}">
      <text>
        <r>
          <rPr>
            <sz val="9"/>
            <color indexed="81"/>
            <rFont val="Tahoma"/>
            <family val="2"/>
          </rPr>
          <t>FS2630 + external components</t>
        </r>
      </text>
    </comment>
    <comment ref="L26" authorId="0" shapeId="0" xr:uid="{3DF04576-D1A5-4063-96C1-D75ACCC710AA}">
      <text>
        <r>
          <rPr>
            <b/>
            <sz val="9"/>
            <color indexed="81"/>
            <rFont val="Tahoma"/>
            <family val="2"/>
          </rPr>
          <t>William Sanfins:</t>
        </r>
        <r>
          <rPr>
            <sz val="9"/>
            <color indexed="81"/>
            <rFont val="Tahoma"/>
            <family val="2"/>
          </rPr>
          <t xml:space="preserve">
LS_Qsw is calculated out of LS_Qgs, LS_Qgd and LS_Qth.</t>
        </r>
      </text>
    </comment>
    <comment ref="T26" authorId="2" shapeId="0" xr:uid="{00000000-0006-0000-0400-000004000000}">
      <text>
        <r>
          <rPr>
            <sz val="9"/>
            <color indexed="81"/>
            <rFont val="Tahoma"/>
            <family val="2"/>
          </rPr>
          <t>FS2630 only</t>
        </r>
      </text>
    </comment>
    <comment ref="L27" authorId="1" shapeId="0" xr:uid="{9C25681F-3E1A-431C-BA08-66A71D4F68D5}">
      <text>
        <r>
          <rPr>
            <sz val="9"/>
            <color indexed="81"/>
            <rFont val="Tahoma"/>
            <family val="2"/>
          </rPr>
          <t>Ciss of NTD5C688NL-D for VGS= 0 V, VDS=0 V, ID=10A, Rg= 2.5 Ohms</t>
        </r>
      </text>
    </comment>
    <comment ref="Q27" authorId="0" shapeId="0" xr:uid="{CD942ED1-E788-4703-B86C-B3C173E5CC1B}">
      <text>
        <r>
          <rPr>
            <sz val="9"/>
            <color indexed="81"/>
            <rFont val="Tahoma"/>
            <family val="2"/>
          </rPr>
          <t>Should be set to 87.5 % max value when used in front-end configuration.</t>
        </r>
      </text>
    </comment>
    <comment ref="T29" authorId="2" shapeId="0" xr:uid="{00000000-0006-0000-0400-000006000000}">
      <text>
        <r>
          <rPr>
            <sz val="9"/>
            <color indexed="81"/>
            <rFont val="Tahoma"/>
            <family val="2"/>
          </rPr>
          <t>FS2630 + external components</t>
        </r>
      </text>
    </comment>
    <comment ref="I37" authorId="0" shapeId="0" xr:uid="{E06D954E-5B30-4A2F-9E43-27B9DC6FC41A}">
      <text>
        <r>
          <rPr>
            <sz val="9"/>
            <color indexed="81"/>
            <rFont val="Tahoma"/>
            <family val="2"/>
          </rPr>
          <t>VPRE regulator is operating in forced PWM in Normal mode so only CCM.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<sst xmlns="http://schemas.openxmlformats.org/spreadsheetml/2006/main" count="610" uniqueCount="376">
  <si>
    <t>Cin</t>
  </si>
  <si>
    <t>Cout</t>
  </si>
  <si>
    <t>Converter</t>
  </si>
  <si>
    <t>Ipeak</t>
  </si>
  <si>
    <t xml:space="preserve">Freq </t>
  </si>
  <si>
    <t>P_Cin</t>
  </si>
  <si>
    <t>P_Cout</t>
  </si>
  <si>
    <t>P_L</t>
  </si>
  <si>
    <t>Pout</t>
  </si>
  <si>
    <t>Pdis_tot</t>
  </si>
  <si>
    <t>Pdis_IC</t>
  </si>
  <si>
    <r>
      <t>D</t>
    </r>
    <r>
      <rPr>
        <b/>
        <sz val="8"/>
        <rFont val="Arial"/>
        <family val="2"/>
      </rPr>
      <t xml:space="preserve">IL </t>
    </r>
  </si>
  <si>
    <t>P_diode</t>
  </si>
  <si>
    <t>Vout_ripple</t>
  </si>
  <si>
    <t>duty_cycle</t>
  </si>
  <si>
    <t>Vsup</t>
  </si>
  <si>
    <t>ESR Cin</t>
  </si>
  <si>
    <t>ESR Cout</t>
  </si>
  <si>
    <t>L coil</t>
  </si>
  <si>
    <t>DCR coil</t>
  </si>
  <si>
    <t>Max output current</t>
  </si>
  <si>
    <t>FILL ORANGE CELLS BASED ON EXTERNAL DEVICES CHARACTERISTICS</t>
  </si>
  <si>
    <t>0/ Generic comments</t>
  </si>
  <si>
    <t>Tj max</t>
  </si>
  <si>
    <t>Revision</t>
  </si>
  <si>
    <t>Date</t>
  </si>
  <si>
    <t>Description of changes</t>
  </si>
  <si>
    <t xml:space="preserve">Related Data Sheet: </t>
  </si>
  <si>
    <t>Document Description:</t>
  </si>
  <si>
    <t>Related Part Numbers:</t>
  </si>
  <si>
    <t xml:space="preserve">Document ID: </t>
  </si>
  <si>
    <t xml:space="preserve">Revision: </t>
  </si>
  <si>
    <t>Ext. C and L</t>
  </si>
  <si>
    <t>QHS</t>
  </si>
  <si>
    <t>QLS</t>
  </si>
  <si>
    <t>Int. MOSFETs</t>
  </si>
  <si>
    <t>Regulator</t>
  </si>
  <si>
    <t>Vdiode</t>
  </si>
  <si>
    <t>Boost</t>
  </si>
  <si>
    <t>P_HS_cond</t>
  </si>
  <si>
    <t>P_HS_sw</t>
  </si>
  <si>
    <t>P_LS_cond</t>
  </si>
  <si>
    <t>P_LS_sw</t>
  </si>
  <si>
    <t>Pdis</t>
  </si>
  <si>
    <r>
      <t>h</t>
    </r>
    <r>
      <rPr>
        <b/>
        <sz val="9"/>
        <rFont val="Arial"/>
        <family val="2"/>
      </rPr>
      <t xml:space="preserve"> </t>
    </r>
  </si>
  <si>
    <t>-</t>
  </si>
  <si>
    <t>Pdis_tot_IC</t>
  </si>
  <si>
    <t>Max_Ta</t>
  </si>
  <si>
    <t>Pout_tot</t>
  </si>
  <si>
    <t>SMPS calculations are valid in PWM mode and CCM mode</t>
  </si>
  <si>
    <t>The SMPS calculations are valid in PWM and CCM modes only (Pulse Width Modulation and Continuous Current Modes)</t>
  </si>
  <si>
    <t>Rth_ja</t>
  </si>
  <si>
    <t>Ta max</t>
  </si>
  <si>
    <r>
      <t>h</t>
    </r>
    <r>
      <rPr>
        <b/>
        <sz val="9"/>
        <rFont val="Arial"/>
        <family val="2"/>
      </rPr>
      <t xml:space="preserve"> tot_IC</t>
    </r>
  </si>
  <si>
    <t>In case of reverse battery protection, Vsup = Vbat - Reverse Battery Diode voltage drop</t>
  </si>
  <si>
    <t>System_PDTCAL for a complete system with Vsup protection/filering and external LDOs</t>
  </si>
  <si>
    <t>The efficiency of each regulators,  the total efficiency of the IC, and the efficiency of the system if additinoal ext. LDO are used.</t>
  </si>
  <si>
    <t>LDO1</t>
  </si>
  <si>
    <t>LDO2</t>
  </si>
  <si>
    <t>LDO1_in</t>
  </si>
  <si>
    <t>I_LDO1</t>
  </si>
  <si>
    <t>I_LDO2</t>
  </si>
  <si>
    <t>Ron</t>
  </si>
  <si>
    <t>RDSon</t>
  </si>
  <si>
    <t>LS</t>
  </si>
  <si>
    <t>Low Side</t>
  </si>
  <si>
    <t>HS</t>
  </si>
  <si>
    <t>High Side</t>
  </si>
  <si>
    <t>Fsw</t>
  </si>
  <si>
    <t>Switching Frequency</t>
  </si>
  <si>
    <t>Tsw</t>
  </si>
  <si>
    <t>rms</t>
  </si>
  <si>
    <t>Root Mean Square value</t>
  </si>
  <si>
    <t>ΔIL</t>
  </si>
  <si>
    <t>Delta current in the inductor</t>
  </si>
  <si>
    <t>Qg</t>
  </si>
  <si>
    <t>Vg</t>
  </si>
  <si>
    <t>Gate Drive Voltage</t>
  </si>
  <si>
    <t>MOSFET Gate Charge</t>
  </si>
  <si>
    <t>Rpu</t>
  </si>
  <si>
    <t>Rpd</t>
  </si>
  <si>
    <t>Rg</t>
  </si>
  <si>
    <t>Gate Driver Pull up Resistor</t>
  </si>
  <si>
    <t>Gate Driver Pull down Resistor</t>
  </si>
  <si>
    <t>Gate serial Resistor</t>
  </si>
  <si>
    <t>L</t>
  </si>
  <si>
    <t>Inductor value</t>
  </si>
  <si>
    <t>DCR</t>
  </si>
  <si>
    <t>ESR</t>
  </si>
  <si>
    <t>Capacitor serial parasitic resistor</t>
  </si>
  <si>
    <t>Inductor serial parasitic resistor</t>
  </si>
  <si>
    <t>Switching Time</t>
  </si>
  <si>
    <t>DCR x (Iout² + ΔIL²/12)</t>
  </si>
  <si>
    <t xml:space="preserve">     See datasheet</t>
  </si>
  <si>
    <t>VPRE_FREQ 
(KHz)</t>
  </si>
  <si>
    <t>VPRE_OUT
(V)</t>
  </si>
  <si>
    <t>Boost SMPS (5V or 5.74V)</t>
  </si>
  <si>
    <r>
      <t xml:space="preserve">LDO1
</t>
    </r>
    <r>
      <rPr>
        <b/>
        <sz val="9"/>
        <rFont val="Arial"/>
        <family val="2"/>
      </rPr>
      <t xml:space="preserve"> (adj from 1.1V to 5V)</t>
    </r>
  </si>
  <si>
    <r>
      <t xml:space="preserve">LDO2
</t>
    </r>
    <r>
      <rPr>
        <b/>
        <sz val="9"/>
        <rFont val="Arial"/>
        <family val="2"/>
      </rPr>
      <t xml:space="preserve"> (adj from 1.1V to 5V)</t>
    </r>
  </si>
  <si>
    <t>VPRE_SR</t>
  </si>
  <si>
    <t>Initial release</t>
  </si>
  <si>
    <r>
      <t xml:space="preserve">FS26 Power Dissipation Calculation tool </t>
    </r>
    <r>
      <rPr>
        <b/>
        <u/>
        <sz val="12"/>
        <rFont val="Arial"/>
        <family val="2"/>
      </rPr>
      <t>user</t>
    </r>
    <r>
      <rPr>
        <b/>
        <sz val="12"/>
        <rFont val="Arial"/>
        <family val="2"/>
      </rPr>
      <t xml:space="preserve"> guide</t>
    </r>
  </si>
  <si>
    <t>FS26_PDTCAL for FS26 and its required external components</t>
  </si>
  <si>
    <t>8/ Fill in System_PDTCALC sheet if needed</t>
  </si>
  <si>
    <t>FILL YELLOW CELLS BASED ON FS26 SETUP</t>
  </si>
  <si>
    <t>TRK1</t>
  </si>
  <si>
    <t>TRK2</t>
  </si>
  <si>
    <t>Vpre SMPS (adj from 3.2 V to 6.35 V)</t>
  </si>
  <si>
    <r>
      <t xml:space="preserve">FS26 Power Dissipation Calculation tool </t>
    </r>
    <r>
      <rPr>
        <b/>
        <u/>
        <sz val="12"/>
        <rFont val="Arial"/>
        <family val="2"/>
      </rPr>
      <t>formula</t>
    </r>
    <r>
      <rPr>
        <b/>
        <sz val="12"/>
        <rFont val="Arial"/>
        <family val="2"/>
      </rPr>
      <t xml:space="preserve"> guide</t>
    </r>
  </si>
  <si>
    <t>FS26 Summary</t>
  </si>
  <si>
    <t>Formula</t>
  </si>
  <si>
    <t>Symbol</t>
  </si>
  <si>
    <t>Description</t>
  </si>
  <si>
    <t>D</t>
  </si>
  <si>
    <t>Duty Cycle</t>
  </si>
  <si>
    <t>Current ripple into the inductor (peak to peak)</t>
  </si>
  <si>
    <t>Conduction Losses into the high side switch</t>
  </si>
  <si>
    <t>Conduction Losses into the low side switch</t>
  </si>
  <si>
    <t>Switching losses into the High side switch</t>
  </si>
  <si>
    <t>THS_Rise_Time</t>
  </si>
  <si>
    <t>THS_Fall_Time</t>
  </si>
  <si>
    <t>Conduction mode</t>
  </si>
  <si>
    <t>TLS_Rise_Time</t>
  </si>
  <si>
    <t>Switching losses into the Low side switch</t>
  </si>
  <si>
    <t>LS_Body-Diode_Voltage</t>
  </si>
  <si>
    <t>Output capacitance losses into the High side switch</t>
  </si>
  <si>
    <t>P_HS_coss</t>
  </si>
  <si>
    <t>HS Output capacitance</t>
  </si>
  <si>
    <t>LS Output capacitance</t>
  </si>
  <si>
    <t>Output capacitance losses into the Low side switch</t>
  </si>
  <si>
    <t>P_LS_coss</t>
  </si>
  <si>
    <t>Losses during Dead time into the Low side body diode</t>
  </si>
  <si>
    <t>Dead time rising</t>
  </si>
  <si>
    <t>Dead time fallling</t>
  </si>
  <si>
    <t>P_dead_time</t>
  </si>
  <si>
    <t>P_HS_g</t>
  </si>
  <si>
    <t>Gate cherge lossesinto the Low side switch</t>
  </si>
  <si>
    <t>P_LS_g</t>
  </si>
  <si>
    <t>Gate cherge losses into the High side switch</t>
  </si>
  <si>
    <t>HS_drive_voltage</t>
  </si>
  <si>
    <t>LS_drive_voltage</t>
  </si>
  <si>
    <t>Losses in the inductor</t>
  </si>
  <si>
    <t>Input capacitor Losses</t>
  </si>
  <si>
    <t>Ouput Capacitor Losses</t>
  </si>
  <si>
    <t>Paek Inductor Current</t>
  </si>
  <si>
    <t>ƞ</t>
  </si>
  <si>
    <t>Vout_min</t>
  </si>
  <si>
    <t>Vout_max</t>
  </si>
  <si>
    <t>vout_min</t>
  </si>
  <si>
    <t>vout_max</t>
  </si>
  <si>
    <t>vout_ripple</t>
  </si>
  <si>
    <t>Ton</t>
  </si>
  <si>
    <t>Toff</t>
  </si>
  <si>
    <t>T</t>
  </si>
  <si>
    <t xml:space="preserve">Vcore SMPS </t>
  </si>
  <si>
    <t>VCORE_OUT</t>
  </si>
  <si>
    <t>VREF</t>
  </si>
  <si>
    <t>TRK1_in</t>
  </si>
  <si>
    <t>I_TRK1</t>
  </si>
  <si>
    <t>TRK2_in</t>
  </si>
  <si>
    <t>I_TRK2</t>
  </si>
  <si>
    <t>LDO2_in</t>
  </si>
  <si>
    <t>I_VREF</t>
  </si>
  <si>
    <t>VREF_in</t>
  </si>
  <si>
    <t>LDO1_VOUT</t>
  </si>
  <si>
    <t>LDO2_VOUT</t>
  </si>
  <si>
    <t>NA</t>
  </si>
  <si>
    <t>Internal LDO Reference for Trackers</t>
  </si>
  <si>
    <t>LDOREF_VOUT</t>
  </si>
  <si>
    <t>TRK1REF</t>
  </si>
  <si>
    <t>TRK1_REF</t>
  </si>
  <si>
    <t>VREF (1%)</t>
  </si>
  <si>
    <t>LDO_Int_ref</t>
  </si>
  <si>
    <t>VREF_VOUT</t>
  </si>
  <si>
    <t>Internal LDO Ref</t>
  </si>
  <si>
    <t>TRK2_REF</t>
  </si>
  <si>
    <t>TRK2REF</t>
  </si>
  <si>
    <t>Vcore Input Current</t>
  </si>
  <si>
    <t>VBOOST_VOUT</t>
  </si>
  <si>
    <t>Boost In</t>
  </si>
  <si>
    <t>BOOST INPUT</t>
  </si>
  <si>
    <t>VPRE</t>
  </si>
  <si>
    <t>BATTERY LINE</t>
  </si>
  <si>
    <t>Boost Input Voltage</t>
  </si>
  <si>
    <t>Battery Line Voltage:</t>
  </si>
  <si>
    <t>Int. Gate Driver</t>
  </si>
  <si>
    <t>Ext. C, L,Q and D</t>
  </si>
  <si>
    <t>Vpre Output Voltage</t>
  </si>
  <si>
    <t>Vpre Output Current</t>
  </si>
  <si>
    <t>Additional Output Current</t>
  </si>
  <si>
    <t>Vpre Total Output Current</t>
  </si>
  <si>
    <t>Vcore Output Voltage</t>
  </si>
  <si>
    <t>Vcore Output Current</t>
  </si>
  <si>
    <t>Boost Input Current</t>
  </si>
  <si>
    <t>Ivalley</t>
  </si>
  <si>
    <t>P_Rsense</t>
  </si>
  <si>
    <t>Rsense</t>
  </si>
  <si>
    <t>LS_Qgs</t>
  </si>
  <si>
    <t>LS_Qgd</t>
  </si>
  <si>
    <t>LS_Qth</t>
  </si>
  <si>
    <t>LS_Qsw</t>
  </si>
  <si>
    <t>Gate Current</t>
  </si>
  <si>
    <t>Gate Current source</t>
  </si>
  <si>
    <t>SW Fall Time</t>
  </si>
  <si>
    <t>SW Rise time</t>
  </si>
  <si>
    <t>Best Of Supply regulated Voltage:</t>
  </si>
  <si>
    <t>C_iss</t>
  </si>
  <si>
    <t>Vpre Input Current</t>
  </si>
  <si>
    <t>Boost Output Current</t>
  </si>
  <si>
    <t>Boost Total Output Current</t>
  </si>
  <si>
    <t>P_LS_diode_recovery</t>
  </si>
  <si>
    <t>LS_QRR</t>
  </si>
  <si>
    <t>P_LS_rr</t>
  </si>
  <si>
    <t>FAST</t>
  </si>
  <si>
    <t>SLOW</t>
  </si>
  <si>
    <t>IBOS_DCDC</t>
  </si>
  <si>
    <t>IBOS_others</t>
  </si>
  <si>
    <t>IBOS tot</t>
  </si>
  <si>
    <t>VCORE_SR</t>
  </si>
  <si>
    <t>VPRE Slew Rate</t>
  </si>
  <si>
    <t>VCORE Slew Rate</t>
  </si>
  <si>
    <t>TLS_Fall_Time</t>
  </si>
  <si>
    <t>VBOS</t>
  </si>
  <si>
    <r>
      <rPr>
        <b/>
        <sz val="16"/>
        <rFont val="Arial"/>
        <family val="2"/>
      </rPr>
      <t>ƞ</t>
    </r>
    <r>
      <rPr>
        <b/>
        <sz val="12"/>
        <rFont val="Arial"/>
        <family val="2"/>
      </rPr>
      <t xml:space="preserve"> </t>
    </r>
    <r>
      <rPr>
        <b/>
        <vertAlign val="subscript"/>
        <sz val="12"/>
        <rFont val="Arial"/>
        <family val="2"/>
      </rPr>
      <t>VPRE</t>
    </r>
    <r>
      <rPr>
        <b/>
        <sz val="12"/>
        <rFont val="Arial"/>
        <family val="2"/>
      </rPr>
      <t xml:space="preserve"> =</t>
    </r>
  </si>
  <si>
    <r>
      <rPr>
        <b/>
        <sz val="16"/>
        <rFont val="Arial"/>
        <family val="2"/>
      </rPr>
      <t>ƞ</t>
    </r>
    <r>
      <rPr>
        <b/>
        <sz val="12"/>
        <rFont val="Arial"/>
        <family val="2"/>
      </rPr>
      <t xml:space="preserve"> </t>
    </r>
    <r>
      <rPr>
        <b/>
        <vertAlign val="subscript"/>
        <sz val="12"/>
        <rFont val="Arial"/>
        <family val="2"/>
      </rPr>
      <t>VCORE</t>
    </r>
    <r>
      <rPr>
        <b/>
        <sz val="12"/>
        <rFont val="Arial"/>
        <family val="2"/>
      </rPr>
      <t xml:space="preserve"> =</t>
    </r>
  </si>
  <si>
    <r>
      <rPr>
        <b/>
        <sz val="16"/>
        <rFont val="Arial"/>
        <family val="2"/>
      </rPr>
      <t>ƞ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VBST =</t>
    </r>
  </si>
  <si>
    <t>VPRE SMPS (adj from 3.2 V to 6.35 V)</t>
  </si>
  <si>
    <t>VBST controller SMPS (adj form 5V to 18V)</t>
  </si>
  <si>
    <t>LDO1 (3.3V or 5.0V)</t>
  </si>
  <si>
    <t>LDO2 (3.3V or 5.0V)</t>
  </si>
  <si>
    <t>VREF (3.3V or 5.0V)</t>
  </si>
  <si>
    <t>VCORE SMPS (adj from 0.8V to 3.35V)</t>
  </si>
  <si>
    <t>VBOS_IN</t>
  </si>
  <si>
    <t>VSUP</t>
  </si>
  <si>
    <t>D_CCM</t>
  </si>
  <si>
    <t>D_DCM</t>
  </si>
  <si>
    <t>Ipeak DCM</t>
  </si>
  <si>
    <t>Ipeak CCM</t>
  </si>
  <si>
    <t>deltaIL_CCM</t>
  </si>
  <si>
    <t>deltaIL_DCM</t>
  </si>
  <si>
    <t>I_input_CCM</t>
  </si>
  <si>
    <t>I_input_DCM</t>
  </si>
  <si>
    <t>DTsw</t>
  </si>
  <si>
    <t>Rise = 4V/ns; Fall = 0.6V/ns</t>
  </si>
  <si>
    <t>Rise = 4.5V/ns; Fall = 1.2V/ns</t>
  </si>
  <si>
    <t>Rise = 5V/ns; Fall = 2.2V/ns</t>
  </si>
  <si>
    <t>Reverse Battery Diode Voltage Drop:</t>
  </si>
  <si>
    <t>Select VPRE voltage from 3.2 V to 6.35 V</t>
  </si>
  <si>
    <t>Select VPRE switching frequency based on FS26 configuration</t>
  </si>
  <si>
    <t>Select VPRE slew rate (Fast or Slow)</t>
  </si>
  <si>
    <t>Fill in VPRE additional output current (Max 1.5 A total)</t>
  </si>
  <si>
    <t>Select VBOS input voltage (VPRE or VSUP)</t>
  </si>
  <si>
    <t>Select VBST input voltage (VPRE for back-end topology or BATTERY LINE for front-end topology)</t>
  </si>
  <si>
    <t>Select VBST output voltage from 5.0 V to 18.0 V</t>
  </si>
  <si>
    <t>Fill in VBST additional output current (Max 0.5 A total in back-end mode)</t>
  </si>
  <si>
    <t>Select VCORE output voltage from 0.8 V to 3.35 V</t>
  </si>
  <si>
    <t>Fill in VCORE load current (Max 1.65 A)</t>
  </si>
  <si>
    <t>Select VCORE slew rate</t>
  </si>
  <si>
    <t>1/ Fill in Ambient Temperature, Battery Line application voltage and Reverse Battery Diode Voltage Drop parameters</t>
  </si>
  <si>
    <t>2/ Fill in VPRE regulator parameters</t>
  </si>
  <si>
    <t>3/ Fill in VBOS parameter</t>
  </si>
  <si>
    <t>4/ Fill in VBST controller parameters (see FS26 Product Datasheet section '20.3 Boost controller: VBST' for optimized configuration)</t>
  </si>
  <si>
    <t>5/ Fill in VCORE regulator parameters</t>
  </si>
  <si>
    <t>6/ Fill in LDO1, LDO2 and VREF regulators parameters</t>
  </si>
  <si>
    <t>Select LDO1, LDO2 and VREF output voltage (3.3 V or 5.0 V)</t>
  </si>
  <si>
    <t>5/ Fill in TRK1, TRK2 and Internal LDO parameters</t>
  </si>
  <si>
    <t>Select Internal LDO output voltage (1.2 V, 1.8 V, 3.3V or 5V)</t>
  </si>
  <si>
    <t>Select TRK1 and TRK2 reference voltage (VREF, Internal LDO or LDO2)</t>
  </si>
  <si>
    <t>Fill in LDO1 load current (Max 400mA)</t>
  </si>
  <si>
    <t>Fill in LDO2 load current (Max 400mA)</t>
  </si>
  <si>
    <t>Fill in VREF load current (Max 30 mA)</t>
  </si>
  <si>
    <t>Fill in TRK1 current (Max 150 mA)</t>
  </si>
  <si>
    <t>Fill in TRK2 current (Max 150 mA)</t>
  </si>
  <si>
    <t>7/ Adjust FS26 External Components characteristics if needed (VPRE, VBST and VCORE)</t>
  </si>
  <si>
    <t>Set the junction-to-air thermal resistance (cell U3)</t>
  </si>
  <si>
    <t>Set the maximum ambient temperature (cell U4)</t>
  </si>
  <si>
    <t xml:space="preserve">9/ The Excel tool will calculate </t>
  </si>
  <si>
    <t>The power dissipation of each regulator, the total power dissipation in the IC and the power dissipation of the system</t>
  </si>
  <si>
    <t>Select VBST gate current (500 mA or 900 mA) to change VBST Rise and Fall times</t>
  </si>
  <si>
    <t>VPRE Buck Converter</t>
  </si>
  <si>
    <t>VBOS Regulator (Best of Supply)</t>
  </si>
  <si>
    <t>VBST Boost Controller</t>
  </si>
  <si>
    <t>VCORE Buck Converter</t>
  </si>
  <si>
    <t xml:space="preserve">JEDEC thermal resistance used to calculate the maximum ambient temperature is based on JEDEC JESD51-6 with the board (JESD51-7) horizontal </t>
  </si>
  <si>
    <t>The maximum ambiente temperature for a specific setup based on customer Rth_ja and Ta.</t>
  </si>
  <si>
    <t>Qrr</t>
  </si>
  <si>
    <t>Reverse Recovery Charge</t>
  </si>
  <si>
    <t>DT</t>
  </si>
  <si>
    <t>Dead Time</t>
  </si>
  <si>
    <t>10/ Glossary</t>
  </si>
  <si>
    <t>Iout + ΔIL/2</t>
  </si>
  <si>
    <t>D x HS_Ron x (Iout² + ΔIL²/12)</t>
  </si>
  <si>
    <t>(Vsup x Iout)/2 x (HS_rise_time + HS_fall_time) x Fsw</t>
  </si>
  <si>
    <t>D x [Vsup - Vout-Iout x (HS_Ron + DCR)] / [L x Fsw x (1 - 0.3 x Iout / 4.9)]</t>
  </si>
  <si>
    <t xml:space="preserve"> ΔIL</t>
  </si>
  <si>
    <t>[Vout + Iout x (LS_Ron + DCR)] / [Vsup - Iout x (HS_Ron - LS_Ron)]</t>
  </si>
  <si>
    <t>(HS_Coss x Fsw x Vsup²)/2</t>
  </si>
  <si>
    <t>HS_Qg x HS_Vgs x Fsw</t>
  </si>
  <si>
    <t>(1 - D) x LS_Ron x (Iout² +  ΔIL²/12)</t>
  </si>
  <si>
    <t>(LS_Coss x Fsw x Vsup²)/2</t>
  </si>
  <si>
    <t>LS_Qg x LS_Vgs x Fsw</t>
  </si>
  <si>
    <t>(LS_Vbody_diode x Iout) x (DT_rising + DT_falling) x Fsw</t>
  </si>
  <si>
    <t>(LS_Vbody_diode x Iout/2) x (LS_rise_time + LS_fall_time) x Fsw</t>
  </si>
  <si>
    <t>Reverse recovery loss in the Low side body diode</t>
  </si>
  <si>
    <t>Vsup x LS_Qrr x Fsw</t>
  </si>
  <si>
    <t>Cout_ESR x I_Cout_rms² with I_Cout_rms² = ΔIL²/12</t>
  </si>
  <si>
    <t>Cin_ESR x I_Cin_rms² with I_Cin_rms²= D x (1 - D) x Iout² x + (D x ΔIL²/12)</t>
  </si>
  <si>
    <t>P_HS_cond + P_HS_sw + P_HS_coss + P_HS_g + P_LS_cond + P_LS_sw + P_LS_coss + P_LS_g + P_dead_time + P_LS_rr</t>
  </si>
  <si>
    <t>Pdis_IC + P_Cin + P_Cout + P_L</t>
  </si>
  <si>
    <t>Pout/(Pout + Pdis_tot)</t>
  </si>
  <si>
    <t>Vout_max - Vout_min</t>
  </si>
  <si>
    <t>-[(ΔIL x Cout_ESR² x Cout)/Ton] - ΔIL/(2 x Cout x Ton) x ((Ton/2)² - (Cout x Cout_ESR)²)</t>
  </si>
  <si>
    <t>[(ΔIL x Cout_ESR² x Cout)/Toff] + ΔIL/(2 x Cout x Toff) x ((Toff/2)² - (Cout x Cout_ESR)²)</t>
  </si>
  <si>
    <t>(HS_Qg + LS_Qg) x Fsw</t>
  </si>
  <si>
    <t>I_BOS_VBST</t>
  </si>
  <si>
    <t>(LS_Qth + LS_Qsw) x Fsw</t>
  </si>
  <si>
    <t>I_BOS_VPRE</t>
  </si>
  <si>
    <t>I_BOS_VCORE</t>
  </si>
  <si>
    <t>VBOS current consumption due to VPRE regulator</t>
  </si>
  <si>
    <t>VBOS current consumption due to VCORE regulator</t>
  </si>
  <si>
    <t>VBOS current consumption due to VBST controller</t>
  </si>
  <si>
    <t>Internal power losses</t>
  </si>
  <si>
    <t>Total power losses (internal + external components losses)</t>
  </si>
  <si>
    <t>Efficiency</t>
  </si>
  <si>
    <t>Output voltage ripple</t>
  </si>
  <si>
    <t>Output voltage ripple minimum value</t>
  </si>
  <si>
    <t>Output voltage ripple maximum value</t>
  </si>
  <si>
    <t>Back-end topology</t>
  </si>
  <si>
    <t>Front-end topology</t>
  </si>
  <si>
    <t>VBST controller</t>
  </si>
  <si>
    <t>VCORE</t>
  </si>
  <si>
    <t>ESR_Cin x I_Cin_rms² with I_Cin_rms² = Cin_ESR x (ΔIL²/3)</t>
  </si>
  <si>
    <t>D x [Vsup - Vout - Iout x (HS_Ron + DCR)] / [L x Fsw x (1 - 0.3 x Iout / 4.9)]</t>
  </si>
  <si>
    <r>
      <t xml:space="preserve">(1-D) x Iin x Vdiode in CCM
</t>
    </r>
    <r>
      <rPr>
        <i/>
        <sz val="10"/>
        <rFont val="Calibri"/>
        <family val="2"/>
        <scheme val="minor"/>
      </rPr>
      <t xml:space="preserve">or
</t>
    </r>
    <r>
      <rPr>
        <sz val="10"/>
        <rFont val="Calibri"/>
        <family val="2"/>
        <scheme val="minor"/>
      </rPr>
      <t>Vdiode x Iout_tot in DCM</t>
    </r>
  </si>
  <si>
    <t>Pout / (Pout + Pdis_tot)</t>
  </si>
  <si>
    <t>Valley Inductor Current</t>
  </si>
  <si>
    <t>Iin - (ΔIL/2) in CCM only</t>
  </si>
  <si>
    <r>
      <t xml:space="preserve">Cout_ESR x (D x Iout_tot² + (1 - D) x (Ipeak - Iout_tot)² + (DIL²/3) x (1 - D)) in CCM
</t>
    </r>
    <r>
      <rPr>
        <i/>
        <sz val="10"/>
        <rFont val="Calibri"/>
        <family val="2"/>
        <scheme val="minor"/>
      </rPr>
      <t>or</t>
    </r>
    <r>
      <rPr>
        <sz val="10"/>
        <rFont val="Calibri"/>
        <family val="2"/>
        <scheme val="minor"/>
      </rPr>
      <t xml:space="preserve">
Cout_ESR x (D x Iout_tot² + (1/3) x (toff_decreasing_current x Fsw - D) x ((Ipeak - Iout_tot)² + (Ipeak - Iout_tot) x (-Iout_tot) + Iout_tot²) + (1 - toff_decreasing_current x Fsw) x Iout_tot²) in DCM</t>
    </r>
  </si>
  <si>
    <t>Boost_P_Cin + Boost_P_diode + Boost_P_L + Boost_P_LS_cond + Boost_P_LS_sw + Boost_P_Rsense + Boost_P_Cout</t>
  </si>
  <si>
    <t>Vdiode_redefined</t>
  </si>
  <si>
    <t>t_2</t>
  </si>
  <si>
    <r>
      <t xml:space="preserve">(Vout + Vdiode - Vin)/[Vout + Vdiode - (LS_Ron x Iout_tot x Vout/Vin)] in CCM
</t>
    </r>
    <r>
      <rPr>
        <i/>
        <sz val="10"/>
        <rFont val="Calibri"/>
        <family val="2"/>
        <scheme val="minor"/>
      </rPr>
      <t>or</t>
    </r>
    <r>
      <rPr>
        <sz val="10"/>
        <rFont val="Calibri"/>
        <family val="2"/>
        <scheme val="minor"/>
      </rPr>
      <t xml:space="preserve">
-L/(LS_Ron + Rsense + DCR) x LN[1 - (LS_Ron + Rsense + DCR) x Ipeak/Vin] x Fsw in DCM</t>
    </r>
  </si>
  <si>
    <r>
      <t xml:space="preserve">LS_Ron x (1/3) x D x (Ipeak² + Ipeak x Ivalley + Ivalley²) in CCM
</t>
    </r>
    <r>
      <rPr>
        <i/>
        <sz val="10"/>
        <rFont val="Calibri"/>
        <family val="2"/>
        <scheme val="minor"/>
      </rPr>
      <t>or</t>
    </r>
    <r>
      <rPr>
        <sz val="10"/>
        <rFont val="Calibri"/>
        <family val="2"/>
        <scheme val="minor"/>
      </rPr>
      <t xml:space="preserve">
LS_Ron x (1/3) x Ipeak² x D) in DCM</t>
    </r>
  </si>
  <si>
    <t>Fsw x (Vout + Vdiode) x Iin x Tsw_rise</t>
  </si>
  <si>
    <t>Power losses in Rsense</t>
  </si>
  <si>
    <t>Losses in the diode</t>
  </si>
  <si>
    <r>
      <t xml:space="preserve">(D x Iin)/(L x Fsw) in CCM
or
</t>
    </r>
    <r>
      <rPr>
        <sz val="10"/>
        <rFont val="Calibri"/>
        <family val="2"/>
      </rPr>
      <t>√</t>
    </r>
    <r>
      <rPr>
        <sz val="10"/>
        <rFont val="Calibri"/>
        <family val="2"/>
        <scheme val="minor"/>
      </rPr>
      <t>[2 x Iout_tot x (Vdiode + Vout - Vin)/(L x Fsw)] in DCM</t>
    </r>
  </si>
  <si>
    <r>
      <t xml:space="preserve">Iout_tot/(1 - D) + ΔIL/2 in CCM
</t>
    </r>
    <r>
      <rPr>
        <i/>
        <sz val="10"/>
        <rFont val="Calibri"/>
        <family val="2"/>
        <scheme val="minor"/>
      </rPr>
      <t xml:space="preserve">or
</t>
    </r>
    <r>
      <rPr>
        <sz val="10"/>
        <rFont val="Calibri"/>
        <family val="2"/>
        <scheme val="minor"/>
      </rPr>
      <t>√[2 x Iout_tot x (Vdiode + Vout - Vin)/(L x Fsw)] in DCM</t>
    </r>
  </si>
  <si>
    <r>
      <t xml:space="preserve">DCR x (Iin² x (1 + (1/3) x (ΔIL/Iin)²)) in CCM
</t>
    </r>
    <r>
      <rPr>
        <i/>
        <sz val="10"/>
        <rFont val="Calibri"/>
        <family val="2"/>
        <scheme val="minor"/>
      </rPr>
      <t xml:space="preserve">or
</t>
    </r>
    <r>
      <rPr>
        <sz val="10"/>
        <rFont val="Calibri"/>
        <family val="2"/>
        <scheme val="minor"/>
      </rPr>
      <t>DCR x Ipeak² x (1/3) x (D + toff_decreasing_current x Fsw) in DCM</t>
    </r>
  </si>
  <si>
    <t>LS_Qgtot</t>
  </si>
  <si>
    <t>VBST</t>
  </si>
  <si>
    <t>FS26 Product Datasheet REV 3.0 — November 2022 and above</t>
  </si>
  <si>
    <t>Max Duty Cycle</t>
  </si>
  <si>
    <t>Vcore Input Voltage</t>
  </si>
  <si>
    <t>The Power Dissipation Tool calculates the power dissipation of the FS2600 series based on application use case</t>
  </si>
  <si>
    <t>FS26_PDTCALC</t>
  </si>
  <si>
    <t>Cin_ESR x I_Cin_rms² with I_Cin_rms²= D x (1 - D) x Iout² + (D x ΔIL²/12)</t>
  </si>
  <si>
    <t>IBOS_Core_biasing</t>
  </si>
  <si>
    <t>IBOS_VREF</t>
  </si>
  <si>
    <t>IBOS_TRK1</t>
  </si>
  <si>
    <t>IBOS_TRK2</t>
  </si>
  <si>
    <t xml:space="preserve">
- Add Boost converter gate loss
- Unlock VCORE DCR coil value cell (C52)
- Updated VBST Controller SMPS block
</t>
  </si>
  <si>
    <t xml:space="preserve">
- Correction of P_Cin formula for VPRE in 'User_Guide' tab
- Add VBST 'Max Duty Cycle' setting in 'FS26_PDTCALC' tab (cell R27). 'duty_cycle' value in cell R31 will be highlighted in red if above 'Max Duty Cycle' set value
- Add a note on cell I37 about VPRE conduction mode
</t>
  </si>
  <si>
    <t xml:space="preserve">
- Correction of VBOS power dissipation formula
</t>
  </si>
  <si>
    <t>Reverse_RDSon</t>
  </si>
  <si>
    <t>HS_RDSon</t>
  </si>
  <si>
    <t>LS_RDSon</t>
  </si>
  <si>
    <t>Junction temperature for RDSon adjustment</t>
  </si>
  <si>
    <t xml:space="preserve">
- Updated VBOS power dissipation formula to match measurements
- Changed Ambient temperature input for Junction temperature input (cell F8)
- Updated VPRE and VCORE HS/LS RDSon formulas which are now dependent on the junction temperature and not the ambient temperature
- Addition of limit values in the current and temperature cells (input cells) 
</t>
  </si>
  <si>
    <t>BOOST ENABLE</t>
  </si>
  <si>
    <t>Enabled</t>
  </si>
  <si>
    <t>Disabled</t>
  </si>
  <si>
    <t>Boost Enable (Back-end only)</t>
  </si>
  <si>
    <t xml:space="preserve">
- Correction of VBOS DCDC formula to remove recursive formula
- VBST Controller SMPS block formulas updated
- Add 'Boost enable' selection cell (R15) for back-end configuration use case
</t>
  </si>
  <si>
    <r>
      <t xml:space="preserve">Rsense x D x [Ivalley² + ΔIL x Ivalley + (ΔIL²/3)] in CCM
</t>
    </r>
    <r>
      <rPr>
        <i/>
        <sz val="10"/>
        <rFont val="Calibri"/>
        <family val="2"/>
        <scheme val="minor"/>
      </rPr>
      <t>or</t>
    </r>
    <r>
      <rPr>
        <sz val="10"/>
        <rFont val="Calibri"/>
        <family val="2"/>
        <scheme val="minor"/>
      </rPr>
      <t xml:space="preserve">
Rsense x Ipeak² x (1/3) x D in DCM</t>
    </r>
  </si>
  <si>
    <t xml:space="preserve">
- Correction of VBST Controller Rsense power dissipation formula (cell L38)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</si>
</sst>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164" formatCode="0.00\ \A"/>
    <numFmt numFmtId="165" formatCode="0.00\ &quot;mV&quot;"/>
    <numFmt numFmtId="166" formatCode="0\ &quot;µF&quot;"/>
    <numFmt numFmtId="167" formatCode="0.00\ &quot;V&quot;"/>
    <numFmt numFmtId="168" formatCode="0\ &quot;kHz&quot;"/>
    <numFmt numFmtId="169" formatCode="0.000\ &quot;µs&quot;"/>
    <numFmt numFmtId="170" formatCode="0.000\ &quot;W&quot;"/>
    <numFmt numFmtId="171" formatCode="0.00\ &quot;ns&quot;"/>
    <numFmt numFmtId="172" formatCode="0.0\ &quot;W&quot;"/>
    <numFmt numFmtId="173" formatCode="0.0\ &quot;µH&quot;"/>
    <numFmt numFmtId="174" formatCode="0\ &quot;mV&quot;"/>
    <numFmt numFmtId="175" formatCode="0.00\ &quot;W&quot;"/>
    <numFmt numFmtId="176" formatCode="0.000\ &quot;A&quot;"/>
    <numFmt numFmtId="177" formatCode="0.0%"/>
    <numFmt numFmtId="178" formatCode="0.0\ &quot;V&quot;"/>
    <numFmt numFmtId="179" formatCode="0.0\ &quot;mA&quot;"/>
    <numFmt numFmtId="180" formatCode="0.0\ &quot;mΩ&quot;"/>
    <numFmt numFmtId="181" formatCode="0.000\ \A"/>
    <numFmt numFmtId="182" formatCode="0\ \°\C"/>
    <numFmt numFmtId="183" formatCode="0\ &quot;°C/W&quot;"/>
    <numFmt numFmtId="184" formatCode="0.0\ &quot;A&quot;"/>
    <numFmt numFmtId="185" formatCode="0.0\ &quot;nC&quot;"/>
    <numFmt numFmtId="186" formatCode="0.0000\ &quot;W&quot;"/>
    <numFmt numFmtId="187" formatCode="0.00\ &quot;°C&quot;"/>
    <numFmt numFmtId="188" formatCode="0.0"/>
    <numFmt numFmtId="189" formatCode="0.0\ \p\F"/>
    <numFmt numFmtId="190" formatCode="0.00\ &quot;µs&quot;"/>
    <numFmt numFmtId="191" formatCode="0.0000000"/>
    <numFmt numFmtId="192" formatCode="0\ &quot;mA&quot;"/>
    <numFmt numFmtId="193" formatCode="0.00\ &quot;Ω&quot;"/>
    <numFmt numFmtId="194" formatCode="0\ &quot;°C&quot;"/>
    <numFmt numFmtId="195" formatCode="0.000"/>
    <numFmt numFmtId="196" formatCode="0\ &quot;pF&quot;"/>
    <numFmt numFmtId="197" formatCode="0.0000"/>
    <numFmt numFmtId="198" formatCode="0.00\ &quot;A&quot;"/>
    <numFmt numFmtId="199" formatCode="0.0\ &quot;ns&quot;"/>
    <numFmt numFmtId="200" formatCode="0.00&quot;V&quot;"/>
    <numFmt numFmtId="201" formatCode="0.00000000000000000000\ &quot;ns&quot;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name val="Symbol"/>
      <family val="1"/>
      <charset val="2"/>
    </font>
    <font>
      <b/>
      <sz val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660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name val="Arial"/>
      <family val="2"/>
    </font>
    <font>
      <sz val="8"/>
      <color rgb="FFFF0000"/>
      <name val="Arial"/>
      <family val="2"/>
    </font>
    <font>
      <b/>
      <sz val="9"/>
      <name val="Symbol"/>
      <family val="1"/>
      <charset val="2"/>
    </font>
    <font>
      <sz val="8"/>
      <color theme="0" tint="-0.34998626667073579"/>
      <name val="Arial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2"/>
      <name val="Arial"/>
      <family val="2"/>
    </font>
    <font>
      <b/>
      <sz val="9"/>
      <color rgb="FFFF0000"/>
      <name val="Arial"/>
      <family val="2"/>
    </font>
    <font>
      <sz val="11"/>
      <color rgb="FFFF0000"/>
      <name val="Arial"/>
      <family val="2"/>
    </font>
    <font>
      <sz val="9"/>
      <color rgb="FFFF0000"/>
      <name val="Arial"/>
      <family val="2"/>
    </font>
    <font>
      <b/>
      <sz val="11"/>
      <color rgb="FFFF0000"/>
      <name val="Arial"/>
      <family val="2"/>
    </font>
    <font>
      <b/>
      <sz val="10"/>
      <name val="Calibri"/>
      <family val="2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i/>
      <sz val="8"/>
      <name val="Arial"/>
      <family val="2"/>
    </font>
    <font>
      <b/>
      <vertAlign val="subscript"/>
      <sz val="12"/>
      <name val="Arial"/>
      <family val="2"/>
    </font>
    <font>
      <b/>
      <sz val="16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i/>
      <sz val="11"/>
      <color rgb="FF7F7F7F"/>
      <name val="Calibri"/>
      <family val="2"/>
      <scheme val="minor"/>
    </font>
    <font>
      <b/>
      <sz val="9"/>
      <color indexed="81"/>
      <name val="Tahoma"/>
      <family val="2"/>
    </font>
    <font>
      <sz val="10"/>
      <color rgb="FF000000"/>
      <name val="Calibri"/>
      <family val="2"/>
      <charset val="1"/>
    </font>
    <font>
      <i/>
      <sz val="9"/>
      <name val="Arial"/>
      <family val="2"/>
    </font>
    <font>
      <i/>
      <sz val="10"/>
      <name val="Calibri"/>
      <family val="2"/>
      <scheme val="minor"/>
    </font>
    <font>
      <sz val="10"/>
      <name val="Calibri"/>
      <family val="2"/>
    </font>
    <font>
      <sz val="8"/>
      <color rgb="FF969696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u/>
      <sz val="10"/>
      <color theme="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6EE3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2F2F2"/>
        <bgColor rgb="FFFFFFFF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292">
    <xf numFmtId="0" fontId="0" fillId="0" borderId="0" xfId="0"/>
    <xf numFmtId="167" fontId="5" fillId="4" borderId="0" xfId="2" applyNumberFormat="1" applyFont="1" applyFill="1" applyAlignment="1" applyProtection="1">
      <alignment horizontal="center" vertical="center"/>
      <protection locked="0"/>
    </xf>
    <xf numFmtId="164" fontId="5" fillId="4" borderId="0" xfId="2" applyNumberFormat="1" applyFont="1" applyFill="1" applyAlignment="1" applyProtection="1">
      <alignment horizontal="center" vertical="center"/>
      <protection locked="0"/>
    </xf>
    <xf numFmtId="179" fontId="5" fillId="4" borderId="0" xfId="2" applyNumberFormat="1" applyFont="1" applyFill="1" applyAlignment="1" applyProtection="1">
      <alignment horizontal="center" vertical="center"/>
      <protection locked="0"/>
    </xf>
    <xf numFmtId="0" fontId="0" fillId="10" borderId="0" xfId="0" applyFill="1" applyAlignment="1">
      <alignment horizontal="center" vertical="center"/>
    </xf>
    <xf numFmtId="0" fontId="4" fillId="10" borderId="0" xfId="0" applyFont="1" applyFill="1" applyAlignment="1">
      <alignment vertical="center"/>
    </xf>
    <xf numFmtId="0" fontId="0" fillId="10" borderId="0" xfId="0" applyFill="1" applyAlignment="1">
      <alignment vertical="center"/>
    </xf>
    <xf numFmtId="0" fontId="3" fillId="10" borderId="2" xfId="0" applyFont="1" applyFill="1" applyBorder="1" applyAlignment="1">
      <alignment horizontal="left" vertical="center" indent="1"/>
    </xf>
    <xf numFmtId="0" fontId="9" fillId="10" borderId="0" xfId="0" applyFont="1" applyFill="1"/>
    <xf numFmtId="0" fontId="10" fillId="10" borderId="0" xfId="0" applyFont="1" applyFill="1"/>
    <xf numFmtId="0" fontId="19" fillId="10" borderId="0" xfId="0" applyFont="1" applyFill="1"/>
    <xf numFmtId="183" fontId="8" fillId="8" borderId="0" xfId="2" applyNumberFormat="1" applyFont="1" applyFill="1" applyAlignment="1" applyProtection="1">
      <alignment horizontal="center" vertical="center"/>
      <protection locked="0"/>
    </xf>
    <xf numFmtId="0" fontId="5" fillId="4" borderId="0" xfId="2" applyFont="1" applyFill="1" applyAlignment="1" applyProtection="1">
      <alignment horizontal="center" vertical="center"/>
      <protection locked="0"/>
    </xf>
    <xf numFmtId="168" fontId="5" fillId="4" borderId="0" xfId="2" applyNumberFormat="1" applyFont="1" applyFill="1" applyAlignment="1" applyProtection="1">
      <alignment horizontal="center" vertical="center"/>
      <protection locked="0"/>
    </xf>
    <xf numFmtId="0" fontId="5" fillId="0" borderId="0" xfId="2" applyFont="1" applyAlignment="1" applyProtection="1">
      <alignment vertical="center"/>
    </xf>
    <xf numFmtId="0" fontId="11" fillId="0" borderId="0" xfId="2" applyFont="1" applyAlignment="1" applyProtection="1">
      <alignment vertical="center"/>
    </xf>
    <xf numFmtId="0" fontId="8" fillId="0" borderId="0" xfId="2" applyFont="1" applyFill="1" applyAlignment="1" applyProtection="1">
      <alignment vertical="center"/>
    </xf>
    <xf numFmtId="0" fontId="5" fillId="0" borderId="0" xfId="2" applyFont="1" applyFill="1" applyAlignment="1" applyProtection="1">
      <alignment vertical="center"/>
    </xf>
    <xf numFmtId="0" fontId="5" fillId="10" borderId="0" xfId="2" applyFont="1" applyFill="1" applyAlignment="1" applyProtection="1">
      <alignment vertical="center"/>
    </xf>
    <xf numFmtId="0" fontId="5" fillId="2" borderId="0" xfId="2" applyFont="1" applyFill="1" applyAlignment="1" applyProtection="1">
      <alignment vertical="center"/>
    </xf>
    <xf numFmtId="0" fontId="5" fillId="12" borderId="0" xfId="2" applyFont="1" applyFill="1" applyAlignment="1" applyProtection="1">
      <alignment vertical="center"/>
    </xf>
    <xf numFmtId="0" fontId="9" fillId="2" borderId="0" xfId="2" applyFont="1" applyFill="1" applyAlignment="1" applyProtection="1">
      <alignment vertical="center"/>
    </xf>
    <xf numFmtId="0" fontId="10" fillId="2" borderId="0" xfId="2" applyFont="1" applyFill="1" applyAlignment="1" applyProtection="1">
      <alignment vertical="center"/>
    </xf>
    <xf numFmtId="0" fontId="9" fillId="12" borderId="0" xfId="2" applyFont="1" applyFill="1" applyAlignment="1" applyProtection="1">
      <alignment vertical="center"/>
    </xf>
    <xf numFmtId="0" fontId="6" fillId="10" borderId="0" xfId="2" applyFont="1" applyFill="1" applyAlignment="1" applyProtection="1">
      <alignment horizontal="right" vertical="center"/>
    </xf>
    <xf numFmtId="172" fontId="5" fillId="12" borderId="0" xfId="2" applyNumberFormat="1" applyFont="1" applyFill="1" applyAlignment="1" applyProtection="1">
      <alignment horizontal="center" vertical="center"/>
    </xf>
    <xf numFmtId="177" fontId="5" fillId="10" borderId="0" xfId="1" applyNumberFormat="1" applyFont="1" applyFill="1" applyAlignment="1" applyProtection="1">
      <alignment horizontal="center" vertical="center"/>
    </xf>
    <xf numFmtId="0" fontId="9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center" vertical="center"/>
    </xf>
    <xf numFmtId="0" fontId="8" fillId="7" borderId="2" xfId="2" applyFont="1" applyFill="1" applyBorder="1" applyAlignment="1" applyProtection="1">
      <alignment horizontal="center" vertical="center" wrapText="1"/>
    </xf>
    <xf numFmtId="0" fontId="8" fillId="6" borderId="2" xfId="2" applyFont="1" applyFill="1" applyBorder="1" applyAlignment="1" applyProtection="1">
      <alignment horizontal="center" vertical="center" wrapText="1"/>
    </xf>
    <xf numFmtId="0" fontId="8" fillId="0" borderId="0" xfId="2" applyFont="1" applyAlignment="1" applyProtection="1">
      <alignment horizontal="center" vertical="center"/>
    </xf>
    <xf numFmtId="0" fontId="8" fillId="13" borderId="2" xfId="2" applyFont="1" applyFill="1" applyBorder="1" applyAlignment="1" applyProtection="1">
      <alignment horizontal="center" vertical="center"/>
    </xf>
    <xf numFmtId="0" fontId="8" fillId="9" borderId="2" xfId="2" applyFont="1" applyFill="1" applyBorder="1" applyAlignment="1" applyProtection="1">
      <alignment horizontal="center" vertical="center"/>
    </xf>
    <xf numFmtId="175" fontId="8" fillId="0" borderId="0" xfId="2" applyNumberFormat="1" applyFont="1" applyAlignment="1" applyProtection="1">
      <alignment horizontal="left" vertical="center"/>
    </xf>
    <xf numFmtId="0" fontId="8" fillId="0" borderId="0" xfId="2" applyFont="1" applyBorder="1" applyAlignment="1" applyProtection="1">
      <alignment horizontal="right" vertical="center"/>
    </xf>
    <xf numFmtId="184" fontId="11" fillId="7" borderId="2" xfId="2" applyNumberFormat="1" applyFont="1" applyFill="1" applyBorder="1" applyAlignment="1" applyProtection="1">
      <alignment horizontal="center" vertical="center"/>
    </xf>
    <xf numFmtId="179" fontId="11" fillId="9" borderId="2" xfId="2" applyNumberFormat="1" applyFont="1" applyFill="1" applyBorder="1" applyAlignment="1" applyProtection="1">
      <alignment horizontal="center" vertical="center"/>
    </xf>
    <xf numFmtId="182" fontId="8" fillId="0" borderId="0" xfId="2" applyNumberFormat="1" applyFont="1" applyAlignment="1" applyProtection="1">
      <alignment horizontal="left" vertical="center"/>
    </xf>
    <xf numFmtId="182" fontId="8" fillId="0" borderId="0" xfId="2" applyNumberFormat="1" applyFont="1" applyAlignment="1" applyProtection="1">
      <alignment horizontal="center" vertical="center"/>
    </xf>
    <xf numFmtId="0" fontId="8" fillId="0" borderId="0" xfId="2" applyFont="1" applyAlignment="1" applyProtection="1">
      <alignment vertical="center"/>
    </xf>
    <xf numFmtId="0" fontId="9" fillId="3" borderId="0" xfId="2" applyFont="1" applyFill="1" applyAlignment="1" applyProtection="1">
      <alignment vertical="center"/>
    </xf>
    <xf numFmtId="0" fontId="6" fillId="0" borderId="0" xfId="2" applyFont="1" applyFill="1" applyAlignment="1" applyProtection="1">
      <alignment horizontal="center" vertical="center"/>
    </xf>
    <xf numFmtId="0" fontId="21" fillId="0" borderId="0" xfId="2" applyFont="1" applyFill="1" applyAlignment="1" applyProtection="1">
      <alignment horizontal="center" vertical="center"/>
    </xf>
    <xf numFmtId="0" fontId="5" fillId="0" borderId="0" xfId="2" applyFont="1" applyAlignment="1" applyProtection="1">
      <alignment horizontal="left" vertical="center"/>
    </xf>
    <xf numFmtId="0" fontId="6" fillId="0" borderId="0" xfId="2" applyFont="1" applyAlignment="1" applyProtection="1">
      <alignment horizontal="left" vertical="center"/>
    </xf>
    <xf numFmtId="167" fontId="5" fillId="0" borderId="0" xfId="2" applyNumberFormat="1" applyFont="1" applyAlignment="1" applyProtection="1">
      <alignment horizontal="center" vertical="center"/>
    </xf>
    <xf numFmtId="0" fontId="6" fillId="0" borderId="0" xfId="2" applyFont="1" applyAlignment="1" applyProtection="1">
      <alignment vertical="center"/>
    </xf>
    <xf numFmtId="0" fontId="6" fillId="0" borderId="0" xfId="2" applyFont="1" applyFill="1" applyAlignment="1" applyProtection="1">
      <alignment horizontal="right" vertical="center"/>
    </xf>
    <xf numFmtId="170" fontId="5" fillId="0" borderId="0" xfId="2" applyNumberFormat="1" applyFont="1" applyAlignment="1" applyProtection="1">
      <alignment horizontal="center" vertical="center"/>
    </xf>
    <xf numFmtId="177" fontId="5" fillId="0" borderId="0" xfId="1" applyNumberFormat="1" applyFont="1" applyAlignment="1" applyProtection="1">
      <alignment horizontal="center" vertical="center"/>
    </xf>
    <xf numFmtId="185" fontId="5" fillId="0" borderId="0" xfId="2" applyNumberFormat="1" applyFont="1" applyAlignment="1" applyProtection="1">
      <alignment horizontal="center" vertical="center"/>
    </xf>
    <xf numFmtId="171" fontId="5" fillId="0" borderId="0" xfId="2" applyNumberFormat="1" applyFont="1" applyAlignment="1" applyProtection="1">
      <alignment horizontal="center" vertical="center"/>
    </xf>
    <xf numFmtId="167" fontId="5" fillId="0" borderId="0" xfId="2" applyNumberFormat="1" applyFont="1" applyFill="1" applyAlignment="1" applyProtection="1">
      <alignment horizontal="center" vertical="center"/>
    </xf>
    <xf numFmtId="178" fontId="5" fillId="0" borderId="0" xfId="2" applyNumberFormat="1" applyFont="1" applyFill="1" applyAlignment="1" applyProtection="1">
      <alignment horizontal="center" vertical="center"/>
    </xf>
    <xf numFmtId="164" fontId="22" fillId="0" borderId="0" xfId="2" applyNumberFormat="1" applyFont="1" applyAlignment="1" applyProtection="1">
      <alignment horizontal="center" vertical="center"/>
    </xf>
    <xf numFmtId="0" fontId="5" fillId="0" borderId="0" xfId="2" applyFont="1" applyFill="1" applyAlignment="1" applyProtection="1">
      <alignment horizontal="left" vertical="center"/>
    </xf>
    <xf numFmtId="164" fontId="5" fillId="0" borderId="0" xfId="2" applyNumberFormat="1" applyFont="1" applyAlignment="1" applyProtection="1">
      <alignment horizontal="center" vertical="center"/>
    </xf>
    <xf numFmtId="181" fontId="22" fillId="0" borderId="0" xfId="2" applyNumberFormat="1" applyFont="1" applyAlignment="1" applyProtection="1">
      <alignment horizontal="center" vertical="center"/>
    </xf>
    <xf numFmtId="177" fontId="5" fillId="0" borderId="0" xfId="1" quotePrefix="1" applyNumberFormat="1" applyFont="1" applyAlignment="1" applyProtection="1">
      <alignment horizontal="center" vertical="center"/>
    </xf>
    <xf numFmtId="0" fontId="6" fillId="0" borderId="0" xfId="2" applyFont="1" applyAlignment="1" applyProtection="1">
      <alignment horizontal="right" vertical="center"/>
    </xf>
    <xf numFmtId="172" fontId="5" fillId="10" borderId="0" xfId="2" applyNumberFormat="1" applyFont="1" applyFill="1" applyAlignment="1" applyProtection="1">
      <alignment horizontal="center" vertical="center"/>
    </xf>
    <xf numFmtId="0" fontId="6" fillId="0" borderId="0" xfId="2" applyFont="1" applyFill="1" applyAlignment="1" applyProtection="1">
      <alignment horizontal="left" vertical="center"/>
    </xf>
    <xf numFmtId="175" fontId="5" fillId="0" borderId="0" xfId="2" applyNumberFormat="1" applyFont="1" applyAlignment="1" applyProtection="1">
      <alignment horizontal="center" vertical="center"/>
    </xf>
    <xf numFmtId="175" fontId="11" fillId="0" borderId="0" xfId="2" quotePrefix="1" applyNumberFormat="1" applyFont="1" applyFill="1" applyBorder="1" applyAlignment="1" applyProtection="1">
      <alignment horizontal="center" vertical="center"/>
    </xf>
    <xf numFmtId="0" fontId="11" fillId="0" borderId="0" xfId="2" quotePrefix="1" applyFont="1" applyFill="1" applyAlignment="1" applyProtection="1">
      <alignment horizontal="center" vertical="center"/>
    </xf>
    <xf numFmtId="0" fontId="8" fillId="0" borderId="0" xfId="2" applyFont="1" applyFill="1" applyAlignment="1" applyProtection="1">
      <alignment horizontal="right" vertical="center"/>
    </xf>
    <xf numFmtId="170" fontId="8" fillId="0" borderId="0" xfId="2" quotePrefix="1" applyNumberFormat="1" applyFont="1" applyFill="1" applyBorder="1" applyAlignment="1" applyProtection="1">
      <alignment horizontal="center" vertical="center"/>
    </xf>
    <xf numFmtId="0" fontId="11" fillId="0" borderId="0" xfId="2" quotePrefix="1" applyFont="1" applyAlignment="1" applyProtection="1">
      <alignment horizontal="center" vertical="center"/>
    </xf>
    <xf numFmtId="187" fontId="8" fillId="0" borderId="0" xfId="2" quotePrefix="1" applyNumberFormat="1" applyFont="1" applyFill="1" applyBorder="1" applyAlignment="1" applyProtection="1">
      <alignment horizontal="center" vertical="center"/>
    </xf>
    <xf numFmtId="169" fontId="20" fillId="0" borderId="0" xfId="2" applyNumberFormat="1" applyFont="1" applyAlignment="1" applyProtection="1">
      <alignment horizontal="center" vertical="center"/>
    </xf>
    <xf numFmtId="0" fontId="7" fillId="0" borderId="0" xfId="2" applyFont="1" applyAlignment="1" applyProtection="1">
      <alignment horizontal="right" vertical="center"/>
    </xf>
    <xf numFmtId="0" fontId="6" fillId="5" borderId="1" xfId="2" applyFont="1" applyFill="1" applyBorder="1" applyAlignment="1" applyProtection="1">
      <alignment horizontal="center" vertical="center"/>
    </xf>
    <xf numFmtId="0" fontId="5" fillId="0" borderId="0" xfId="2" quotePrefix="1" applyFont="1" applyFill="1" applyAlignment="1" applyProtection="1">
      <alignment horizontal="center" vertical="center"/>
    </xf>
    <xf numFmtId="0" fontId="21" fillId="0" borderId="0" xfId="2" applyFont="1" applyFill="1" applyAlignment="1" applyProtection="1">
      <alignment horizontal="right" vertical="center"/>
    </xf>
    <xf numFmtId="177" fontId="8" fillId="15" borderId="0" xfId="1" applyNumberFormat="1" applyFont="1" applyFill="1" applyBorder="1" applyAlignment="1" applyProtection="1">
      <alignment horizontal="center" vertical="center"/>
    </xf>
    <xf numFmtId="165" fontId="5" fillId="0" borderId="0" xfId="2" applyNumberFormat="1" applyFont="1" applyAlignment="1" applyProtection="1">
      <alignment horizontal="center" vertical="center"/>
    </xf>
    <xf numFmtId="165" fontId="5" fillId="10" borderId="0" xfId="2" applyNumberFormat="1" applyFont="1" applyFill="1" applyAlignment="1" applyProtection="1">
      <alignment horizontal="center" vertical="center"/>
    </xf>
    <xf numFmtId="15" fontId="3" fillId="10" borderId="2" xfId="0" applyNumberFormat="1" applyFont="1" applyFill="1" applyBorder="1" applyAlignment="1">
      <alignment horizontal="center" vertical="center"/>
    </xf>
    <xf numFmtId="0" fontId="24" fillId="14" borderId="0" xfId="0" applyFont="1" applyFill="1" applyAlignment="1">
      <alignment vertical="center"/>
    </xf>
    <xf numFmtId="0" fontId="24" fillId="14" borderId="6" xfId="0" applyFont="1" applyFill="1" applyBorder="1" applyAlignment="1">
      <alignment vertical="center"/>
    </xf>
    <xf numFmtId="0" fontId="16" fillId="4" borderId="0" xfId="3" applyFont="1" applyFill="1" applyAlignment="1">
      <alignment vertical="center"/>
    </xf>
    <xf numFmtId="0" fontId="17" fillId="4" borderId="0" xfId="3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11" borderId="0" xfId="0" applyFill="1" applyAlignment="1">
      <alignment vertical="center"/>
    </xf>
    <xf numFmtId="0" fontId="15" fillId="11" borderId="0" xfId="3" applyFont="1" applyFill="1" applyAlignment="1">
      <alignment vertical="center"/>
    </xf>
    <xf numFmtId="0" fontId="15" fillId="4" borderId="0" xfId="3" applyFont="1" applyFill="1" applyAlignment="1">
      <alignment vertical="center"/>
    </xf>
    <xf numFmtId="0" fontId="2" fillId="11" borderId="0" xfId="3" applyFill="1" applyAlignment="1">
      <alignment vertical="center"/>
    </xf>
    <xf numFmtId="0" fontId="12" fillId="11" borderId="0" xfId="3" applyFont="1" applyFill="1" applyAlignment="1">
      <alignment vertical="center"/>
    </xf>
    <xf numFmtId="0" fontId="2" fillId="4" borderId="0" xfId="3" applyFill="1" applyAlignment="1">
      <alignment vertical="center"/>
    </xf>
    <xf numFmtId="0" fontId="24" fillId="11" borderId="0" xfId="0" applyFont="1" applyFill="1" applyAlignment="1">
      <alignment vertical="center"/>
    </xf>
    <xf numFmtId="0" fontId="13" fillId="11" borderId="0" xfId="3" applyFont="1" applyFill="1" applyAlignment="1">
      <alignment vertical="center"/>
    </xf>
    <xf numFmtId="0" fontId="14" fillId="11" borderId="0" xfId="3" applyFont="1" applyFill="1" applyAlignment="1">
      <alignment vertical="center"/>
    </xf>
    <xf numFmtId="0" fontId="16" fillId="11" borderId="0" xfId="3" applyFont="1" applyFill="1" applyAlignment="1">
      <alignment vertical="center"/>
    </xf>
    <xf numFmtId="0" fontId="25" fillId="11" borderId="2" xfId="2" applyFont="1" applyFill="1" applyBorder="1" applyAlignment="1" applyProtection="1">
      <alignment horizontal="right" vertical="center"/>
    </xf>
    <xf numFmtId="0" fontId="25" fillId="11" borderId="5" xfId="2" applyFont="1" applyFill="1" applyBorder="1" applyAlignment="1" applyProtection="1">
      <alignment horizontal="right" vertical="center"/>
    </xf>
    <xf numFmtId="0" fontId="12" fillId="11" borderId="0" xfId="3" applyFont="1" applyFill="1" applyAlignment="1">
      <alignment horizontal="right" vertical="center"/>
    </xf>
    <xf numFmtId="0" fontId="22" fillId="0" borderId="0" xfId="2" applyFont="1" applyAlignment="1" applyProtection="1">
      <alignment vertical="center"/>
    </xf>
    <xf numFmtId="0" fontId="28" fillId="10" borderId="0" xfId="2" applyFont="1" applyFill="1" applyAlignment="1" applyProtection="1">
      <alignment horizontal="center" vertical="center"/>
    </xf>
    <xf numFmtId="0" fontId="20" fillId="10" borderId="0" xfId="2" applyFont="1" applyFill="1" applyAlignment="1" applyProtection="1">
      <alignment horizontal="center" vertical="center"/>
    </xf>
    <xf numFmtId="0" fontId="29" fillId="10" borderId="0" xfId="2" applyFont="1" applyFill="1" applyAlignment="1" applyProtection="1">
      <alignment horizontal="center" vertical="center"/>
    </xf>
    <xf numFmtId="0" fontId="27" fillId="10" borderId="0" xfId="2" applyFont="1" applyFill="1" applyAlignment="1" applyProtection="1">
      <alignment horizontal="center" vertical="center"/>
    </xf>
    <xf numFmtId="0" fontId="30" fillId="10" borderId="0" xfId="2" applyFont="1" applyFill="1" applyBorder="1" applyAlignment="1" applyProtection="1">
      <alignment horizontal="center" vertical="center" wrapText="1"/>
    </xf>
    <xf numFmtId="0" fontId="28" fillId="0" borderId="0" xfId="2" applyFont="1" applyAlignment="1" applyProtection="1">
      <alignment vertical="center"/>
    </xf>
    <xf numFmtId="0" fontId="20" fillId="10" borderId="0" xfId="2" applyFont="1" applyFill="1" applyAlignment="1" applyProtection="1">
      <alignment vertical="center"/>
    </xf>
    <xf numFmtId="0" fontId="20" fillId="0" borderId="0" xfId="2" applyFont="1" applyAlignment="1" applyProtection="1">
      <alignment vertical="center"/>
    </xf>
    <xf numFmtId="0" fontId="29" fillId="10" borderId="0" xfId="2" applyFont="1" applyFill="1" applyAlignment="1" applyProtection="1">
      <alignment vertical="center"/>
    </xf>
    <xf numFmtId="0" fontId="29" fillId="0" borderId="0" xfId="2" applyFont="1" applyAlignment="1" applyProtection="1">
      <alignment vertical="center"/>
    </xf>
    <xf numFmtId="0" fontId="27" fillId="10" borderId="0" xfId="2" applyFont="1" applyFill="1" applyAlignment="1" applyProtection="1">
      <alignment vertical="center"/>
    </xf>
    <xf numFmtId="0" fontId="27" fillId="0" borderId="0" xfId="2" applyFont="1" applyAlignment="1" applyProtection="1">
      <alignment vertical="center"/>
    </xf>
    <xf numFmtId="0" fontId="5" fillId="10" borderId="2" xfId="2" applyFont="1" applyFill="1" applyBorder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4" fillId="11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vertical="center" wrapText="1"/>
    </xf>
    <xf numFmtId="185" fontId="5" fillId="0" borderId="0" xfId="2" applyNumberFormat="1" applyFont="1" applyBorder="1" applyAlignment="1" applyProtection="1">
      <alignment horizontal="center" vertical="center"/>
    </xf>
    <xf numFmtId="0" fontId="5" fillId="0" borderId="0" xfId="2" applyFont="1" applyFill="1" applyBorder="1" applyAlignment="1" applyProtection="1">
      <alignment vertical="center"/>
    </xf>
    <xf numFmtId="0" fontId="28" fillId="10" borderId="0" xfId="2" applyFont="1" applyFill="1" applyBorder="1" applyAlignment="1" applyProtection="1">
      <alignment horizontal="center" vertical="center"/>
    </xf>
    <xf numFmtId="0" fontId="20" fillId="10" borderId="0" xfId="2" applyFont="1" applyFill="1" applyBorder="1" applyAlignment="1" applyProtection="1">
      <alignment horizontal="center" vertical="center"/>
    </xf>
    <xf numFmtId="0" fontId="28" fillId="10" borderId="0" xfId="2" applyFont="1" applyFill="1" applyBorder="1" applyAlignment="1" applyProtection="1">
      <alignment vertical="center"/>
    </xf>
    <xf numFmtId="0" fontId="9" fillId="10" borderId="0" xfId="2" applyFont="1" applyFill="1" applyBorder="1" applyAlignment="1" applyProtection="1">
      <alignment vertical="center"/>
    </xf>
    <xf numFmtId="0" fontId="20" fillId="10" borderId="0" xfId="2" applyFont="1" applyFill="1" applyBorder="1" applyAlignment="1" applyProtection="1">
      <alignment vertical="center"/>
    </xf>
    <xf numFmtId="178" fontId="5" fillId="0" borderId="0" xfId="2" applyNumberFormat="1" applyFont="1" applyAlignment="1" applyProtection="1">
      <alignment horizontal="center" vertical="center"/>
    </xf>
    <xf numFmtId="178" fontId="5" fillId="0" borderId="0" xfId="2" applyNumberFormat="1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180" fontId="5" fillId="0" borderId="0" xfId="2" applyNumberFormat="1" applyFont="1" applyBorder="1" applyAlignment="1" applyProtection="1">
      <alignment horizontal="center" vertical="center"/>
    </xf>
    <xf numFmtId="0" fontId="32" fillId="0" borderId="0" xfId="2" applyFont="1" applyFill="1" applyAlignment="1" applyProtection="1">
      <alignment horizontal="left" vertical="center"/>
    </xf>
    <xf numFmtId="171" fontId="33" fillId="0" borderId="0" xfId="2" applyNumberFormat="1" applyFont="1" applyBorder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174" fontId="5" fillId="0" borderId="0" xfId="2" applyNumberFormat="1" applyFont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0" fontId="5" fillId="0" borderId="0" xfId="2" applyFont="1" applyFill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192" fontId="5" fillId="4" borderId="0" xfId="2" applyNumberFormat="1" applyFont="1" applyFill="1" applyAlignment="1" applyProtection="1">
      <alignment horizontal="center" vertical="center"/>
      <protection locked="0"/>
    </xf>
    <xf numFmtId="192" fontId="11" fillId="13" borderId="2" xfId="2" applyNumberFormat="1" applyFont="1" applyFill="1" applyBorder="1" applyAlignment="1" applyProtection="1">
      <alignment horizontal="center" vertical="center"/>
    </xf>
    <xf numFmtId="0" fontId="5" fillId="0" borderId="0" xfId="2" applyFont="1" applyFill="1" applyBorder="1" applyAlignment="1" applyProtection="1">
      <alignment horizontal="center" vertical="center"/>
    </xf>
    <xf numFmtId="0" fontId="0" fillId="0" borderId="0" xfId="0" applyFill="1" applyBorder="1"/>
    <xf numFmtId="0" fontId="0" fillId="0" borderId="0" xfId="0" applyFill="1"/>
    <xf numFmtId="194" fontId="8" fillId="15" borderId="0" xfId="2" quotePrefix="1" applyNumberFormat="1" applyFont="1" applyFill="1" applyBorder="1" applyAlignment="1" applyProtection="1">
      <alignment horizontal="center" vertical="center"/>
    </xf>
    <xf numFmtId="181" fontId="5" fillId="0" borderId="0" xfId="2" applyNumberFormat="1" applyFont="1" applyAlignment="1" applyProtection="1">
      <alignment horizontal="center" vertical="center"/>
    </xf>
    <xf numFmtId="0" fontId="5" fillId="10" borderId="2" xfId="2" applyFont="1" applyFill="1" applyBorder="1" applyAlignment="1" applyProtection="1">
      <alignment horizontal="center" vertical="center"/>
    </xf>
    <xf numFmtId="0" fontId="3" fillId="10" borderId="2" xfId="0" quotePrefix="1" applyFont="1" applyFill="1" applyBorder="1" applyAlignment="1">
      <alignment horizontal="left" vertical="center" wrapText="1" indent="1"/>
    </xf>
    <xf numFmtId="170" fontId="8" fillId="15" borderId="0" xfId="2" quotePrefix="1" applyNumberFormat="1" applyFont="1" applyFill="1" applyBorder="1" applyAlignment="1" applyProtection="1">
      <alignment horizontal="center" vertical="center"/>
    </xf>
    <xf numFmtId="181" fontId="5" fillId="10" borderId="0" xfId="2" applyNumberFormat="1" applyFont="1" applyFill="1" applyAlignment="1" applyProtection="1">
      <alignment horizontal="center" vertical="center"/>
    </xf>
    <xf numFmtId="0" fontId="34" fillId="10" borderId="0" xfId="2" applyFont="1" applyFill="1" applyAlignment="1" applyProtection="1">
      <alignment vertical="center"/>
    </xf>
    <xf numFmtId="197" fontId="6" fillId="10" borderId="0" xfId="2" applyNumberFormat="1" applyFont="1" applyFill="1" applyAlignment="1" applyProtection="1">
      <alignment vertical="center"/>
    </xf>
    <xf numFmtId="197" fontId="5" fillId="10" borderId="0" xfId="2" applyNumberFormat="1" applyFont="1" applyFill="1" applyAlignment="1" applyProtection="1">
      <alignment vertical="center"/>
    </xf>
    <xf numFmtId="186" fontId="5" fillId="10" borderId="0" xfId="2" applyNumberFormat="1" applyFont="1" applyFill="1" applyAlignment="1" applyProtection="1">
      <alignment horizontal="center" vertical="center"/>
    </xf>
    <xf numFmtId="172" fontId="5" fillId="0" borderId="0" xfId="2" applyNumberFormat="1" applyFont="1" applyFill="1" applyAlignment="1" applyProtection="1">
      <alignment horizontal="center" vertical="center"/>
    </xf>
    <xf numFmtId="186" fontId="5" fillId="0" borderId="0" xfId="2" applyNumberFormat="1" applyFont="1" applyFill="1" applyAlignment="1" applyProtection="1">
      <alignment horizontal="center" vertical="center"/>
    </xf>
    <xf numFmtId="170" fontId="5" fillId="0" borderId="0" xfId="2" applyNumberFormat="1" applyFont="1" applyFill="1" applyAlignment="1" applyProtection="1">
      <alignment horizontal="center" vertical="center"/>
    </xf>
    <xf numFmtId="0" fontId="7" fillId="0" borderId="0" xfId="2" applyFont="1" applyFill="1" applyAlignment="1" applyProtection="1">
      <alignment horizontal="right" vertical="center"/>
    </xf>
    <xf numFmtId="0" fontId="5" fillId="10" borderId="0" xfId="2" applyFont="1" applyFill="1" applyBorder="1" applyAlignment="1" applyProtection="1">
      <alignment vertical="center"/>
    </xf>
    <xf numFmtId="0" fontId="5" fillId="10" borderId="0" xfId="2" applyFont="1" applyFill="1" applyAlignment="1" applyProtection="1">
      <alignment horizontal="left" vertical="center"/>
    </xf>
    <xf numFmtId="182" fontId="11" fillId="4" borderId="0" xfId="2" applyNumberFormat="1" applyFont="1" applyFill="1" applyAlignment="1" applyProtection="1">
      <alignment horizontal="center" vertical="center"/>
      <protection locked="0"/>
    </xf>
    <xf numFmtId="0" fontId="6" fillId="10" borderId="0" xfId="2" applyFont="1" applyFill="1" applyAlignment="1" applyProtection="1">
      <alignment horizontal="left" vertical="center"/>
    </xf>
    <xf numFmtId="198" fontId="22" fillId="0" borderId="0" xfId="2" applyNumberFormat="1" applyFont="1" applyFill="1" applyAlignment="1" applyProtection="1">
      <alignment horizontal="center" vertical="center"/>
    </xf>
    <xf numFmtId="168" fontId="5" fillId="10" borderId="0" xfId="2" applyNumberFormat="1" applyFont="1" applyFill="1" applyAlignment="1" applyProtection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164" fontId="5" fillId="0" borderId="0" xfId="2" applyNumberFormat="1" applyFont="1" applyFill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right"/>
    </xf>
    <xf numFmtId="0" fontId="0" fillId="10" borderId="0" xfId="0" applyFill="1" applyProtection="1"/>
    <xf numFmtId="0" fontId="3" fillId="0" borderId="0" xfId="0" applyFont="1" applyAlignment="1" applyProtection="1">
      <alignment horizontal="right"/>
    </xf>
    <xf numFmtId="0" fontId="3" fillId="0" borderId="0" xfId="0" applyFont="1" applyFill="1" applyProtection="1"/>
    <xf numFmtId="0" fontId="4" fillId="0" borderId="0" xfId="0" applyFont="1" applyProtection="1"/>
    <xf numFmtId="0" fontId="3" fillId="0" borderId="0" xfId="0" applyFont="1" applyAlignment="1" applyProtection="1">
      <alignment horizontal="left"/>
    </xf>
    <xf numFmtId="0" fontId="0" fillId="0" borderId="0" xfId="0" applyFill="1" applyProtection="1"/>
    <xf numFmtId="0" fontId="3" fillId="0" borderId="0" xfId="0" applyFont="1" applyProtection="1"/>
    <xf numFmtId="191" fontId="0" fillId="0" borderId="0" xfId="0" applyNumberFormat="1" applyProtection="1"/>
    <xf numFmtId="193" fontId="5" fillId="0" borderId="0" xfId="0" applyNumberFormat="1" applyFont="1" applyAlignment="1" applyProtection="1">
      <alignment horizontal="center"/>
    </xf>
    <xf numFmtId="190" fontId="5" fillId="0" borderId="0" xfId="0" applyNumberFormat="1" applyFont="1" applyAlignment="1" applyProtection="1">
      <alignment horizontal="center"/>
    </xf>
    <xf numFmtId="167" fontId="0" fillId="0" borderId="0" xfId="0" applyNumberFormat="1" applyProtection="1"/>
    <xf numFmtId="189" fontId="5" fillId="0" borderId="0" xfId="0" applyNumberFormat="1" applyFont="1" applyAlignment="1" applyProtection="1">
      <alignment horizontal="center"/>
    </xf>
    <xf numFmtId="0" fontId="3" fillId="10" borderId="0" xfId="0" applyFont="1" applyFill="1" applyProtection="1"/>
    <xf numFmtId="0" fontId="0" fillId="10" borderId="0" xfId="0" applyFill="1" applyBorder="1" applyProtection="1"/>
    <xf numFmtId="180" fontId="5" fillId="10" borderId="0" xfId="2" applyNumberFormat="1" applyFont="1" applyFill="1" applyAlignment="1" applyProtection="1">
      <alignment horizontal="center" vertical="center"/>
    </xf>
    <xf numFmtId="197" fontId="3" fillId="0" borderId="0" xfId="0" applyNumberFormat="1" applyFont="1" applyFill="1" applyProtection="1"/>
    <xf numFmtId="167" fontId="5" fillId="10" borderId="0" xfId="2" applyNumberFormat="1" applyFont="1" applyFill="1" applyAlignment="1" applyProtection="1">
      <alignment horizontal="center" vertical="center"/>
    </xf>
    <xf numFmtId="0" fontId="24" fillId="10" borderId="0" xfId="0" applyFont="1" applyFill="1" applyBorder="1" applyAlignment="1" applyProtection="1">
      <alignment vertical="center"/>
    </xf>
    <xf numFmtId="182" fontId="8" fillId="0" borderId="0" xfId="2" applyNumberFormat="1" applyFont="1" applyFill="1" applyAlignment="1" applyProtection="1">
      <alignment horizontal="center" vertical="center"/>
    </xf>
    <xf numFmtId="167" fontId="5" fillId="4" borderId="0" xfId="2" applyNumberFormat="1" applyFont="1" applyFill="1" applyBorder="1" applyAlignment="1" applyProtection="1">
      <alignment horizontal="center" vertical="center"/>
      <protection locked="0"/>
    </xf>
    <xf numFmtId="0" fontId="5" fillId="10" borderId="2" xfId="2" applyFont="1" applyFill="1" applyBorder="1" applyAlignment="1" applyProtection="1">
      <alignment horizontal="center" vertical="center"/>
    </xf>
    <xf numFmtId="0" fontId="8" fillId="0" borderId="0" xfId="2" applyFont="1" applyAlignment="1" applyProtection="1">
      <alignment horizontal="right" vertical="center"/>
    </xf>
    <xf numFmtId="180" fontId="5" fillId="10" borderId="0" xfId="2" applyNumberFormat="1" applyFont="1" applyFill="1" applyBorder="1" applyAlignment="1" applyProtection="1">
      <alignment horizontal="center" vertical="center"/>
    </xf>
    <xf numFmtId="185" fontId="5" fillId="10" borderId="0" xfId="2" applyNumberFormat="1" applyFont="1" applyFill="1" applyBorder="1" applyAlignment="1" applyProtection="1">
      <alignment horizontal="center" vertical="center"/>
    </xf>
    <xf numFmtId="171" fontId="5" fillId="10" borderId="0" xfId="2" applyNumberFormat="1" applyFont="1" applyFill="1" applyBorder="1" applyAlignment="1" applyProtection="1">
      <alignment horizontal="center" vertical="center"/>
    </xf>
    <xf numFmtId="178" fontId="5" fillId="10" borderId="0" xfId="2" applyNumberFormat="1" applyFont="1" applyFill="1" applyBorder="1" applyAlignment="1" applyProtection="1">
      <alignment horizontal="center" vertical="center"/>
    </xf>
    <xf numFmtId="189" fontId="5" fillId="10" borderId="0" xfId="0" applyNumberFormat="1" applyFont="1" applyFill="1" applyAlignment="1" applyProtection="1">
      <alignment horizontal="center"/>
    </xf>
    <xf numFmtId="185" fontId="5" fillId="10" borderId="0" xfId="2" applyNumberFormat="1" applyFont="1" applyFill="1" applyAlignment="1" applyProtection="1">
      <alignment horizontal="center" vertical="center"/>
    </xf>
    <xf numFmtId="178" fontId="5" fillId="10" borderId="0" xfId="2" applyNumberFormat="1" applyFont="1" applyFill="1" applyAlignment="1" applyProtection="1">
      <alignment horizontal="center" vertical="center"/>
    </xf>
    <xf numFmtId="170" fontId="5" fillId="10" borderId="0" xfId="2" applyNumberFormat="1" applyFont="1" applyFill="1" applyAlignment="1" applyProtection="1">
      <alignment horizontal="center" vertical="center"/>
    </xf>
    <xf numFmtId="181" fontId="5" fillId="0" borderId="0" xfId="2" applyNumberFormat="1" applyFont="1" applyFill="1" applyAlignment="1" applyProtection="1">
      <alignment horizontal="center" vertical="center"/>
    </xf>
    <xf numFmtId="166" fontId="5" fillId="8" borderId="0" xfId="2" applyNumberFormat="1" applyFont="1" applyFill="1" applyAlignment="1" applyProtection="1">
      <alignment horizontal="center" vertical="center"/>
      <protection locked="0"/>
    </xf>
    <xf numFmtId="180" fontId="5" fillId="8" borderId="0" xfId="2" applyNumberFormat="1" applyFont="1" applyFill="1" applyAlignment="1" applyProtection="1">
      <alignment horizontal="center" vertical="center"/>
      <protection locked="0"/>
    </xf>
    <xf numFmtId="173" fontId="5" fillId="8" borderId="0" xfId="2" applyNumberFormat="1" applyFont="1" applyFill="1" applyAlignment="1" applyProtection="1">
      <alignment horizontal="center" vertical="center"/>
      <protection locked="0"/>
    </xf>
    <xf numFmtId="167" fontId="5" fillId="8" borderId="0" xfId="2" applyNumberFormat="1" applyFont="1" applyFill="1" applyAlignment="1" applyProtection="1">
      <alignment horizontal="center" vertical="center"/>
      <protection locked="0"/>
    </xf>
    <xf numFmtId="185" fontId="5" fillId="8" borderId="0" xfId="2" applyNumberFormat="1" applyFont="1" applyFill="1" applyAlignment="1" applyProtection="1">
      <alignment horizontal="center" vertical="center"/>
      <protection locked="0"/>
    </xf>
    <xf numFmtId="196" fontId="5" fillId="8" borderId="0" xfId="2" applyNumberFormat="1" applyFont="1" applyFill="1" applyAlignment="1" applyProtection="1">
      <alignment horizontal="center" vertical="center"/>
      <protection locked="0"/>
    </xf>
    <xf numFmtId="0" fontId="5" fillId="0" borderId="0" xfId="2" applyFont="1" applyFill="1" applyBorder="1" applyAlignment="1" applyProtection="1">
      <alignment vertical="top"/>
    </xf>
    <xf numFmtId="199" fontId="5" fillId="10" borderId="0" xfId="2" applyNumberFormat="1" applyFont="1" applyFill="1" applyAlignment="1" applyProtection="1">
      <alignment horizontal="center" vertical="center"/>
    </xf>
    <xf numFmtId="0" fontId="37" fillId="0" borderId="0" xfId="0" applyFont="1" applyProtection="1"/>
    <xf numFmtId="0" fontId="5" fillId="10" borderId="2" xfId="2" applyFont="1" applyFill="1" applyBorder="1" applyAlignment="1">
      <alignment horizontal="left" vertical="center"/>
    </xf>
    <xf numFmtId="171" fontId="5" fillId="0" borderId="0" xfId="2" applyNumberFormat="1" applyFont="1" applyAlignment="1">
      <alignment horizontal="center" vertical="center"/>
    </xf>
    <xf numFmtId="171" fontId="33" fillId="0" borderId="0" xfId="2" applyNumberFormat="1" applyFont="1" applyAlignment="1">
      <alignment horizontal="center" vertical="center"/>
    </xf>
    <xf numFmtId="188" fontId="10" fillId="10" borderId="0" xfId="0" quotePrefix="1" applyNumberFormat="1" applyFont="1" applyFill="1" applyAlignment="1">
      <alignment horizontal="left"/>
    </xf>
    <xf numFmtId="0" fontId="8" fillId="0" borderId="0" xfId="2" applyFont="1" applyAlignment="1" applyProtection="1">
      <alignment horizontal="right" vertical="center"/>
    </xf>
    <xf numFmtId="0" fontId="4" fillId="10" borderId="0" xfId="0" applyFont="1" applyFill="1" applyAlignment="1" applyProtection="1">
      <alignment horizontal="right"/>
    </xf>
    <xf numFmtId="0" fontId="37" fillId="10" borderId="0" xfId="0" applyFont="1" applyFill="1" applyProtection="1"/>
    <xf numFmtId="0" fontId="37" fillId="0" borderId="0" xfId="0" quotePrefix="1" applyFont="1" applyProtection="1"/>
    <xf numFmtId="0" fontId="37" fillId="10" borderId="0" xfId="2" applyFont="1" applyFill="1" applyProtection="1"/>
    <xf numFmtId="0" fontId="15" fillId="14" borderId="0" xfId="3" applyFont="1" applyFill="1" applyAlignment="1">
      <alignment horizontal="left" vertical="center"/>
    </xf>
    <xf numFmtId="0" fontId="15" fillId="14" borderId="6" xfId="3" applyFont="1" applyFill="1" applyBorder="1" applyAlignment="1">
      <alignment horizontal="left" vertical="center"/>
    </xf>
    <xf numFmtId="0" fontId="41" fillId="16" borderId="0" xfId="6" applyFont="1" applyFill="1" applyAlignment="1">
      <alignment horizontal="right" vertical="center"/>
    </xf>
    <xf numFmtId="0" fontId="41" fillId="16" borderId="0" xfId="6" applyFont="1" applyFill="1" applyAlignment="1">
      <alignment vertical="center"/>
    </xf>
    <xf numFmtId="201" fontId="33" fillId="0" borderId="0" xfId="2" applyNumberFormat="1" applyFont="1" applyBorder="1" applyAlignment="1" applyProtection="1">
      <alignment horizontal="center" vertical="center"/>
    </xf>
    <xf numFmtId="0" fontId="25" fillId="11" borderId="3" xfId="2" applyFont="1" applyFill="1" applyBorder="1" applyAlignment="1" applyProtection="1">
      <alignment horizontal="right" vertical="center"/>
    </xf>
    <xf numFmtId="0" fontId="31" fillId="11" borderId="2" xfId="2" applyFont="1" applyFill="1" applyBorder="1" applyAlignment="1" applyProtection="1">
      <alignment horizontal="right" vertical="center"/>
    </xf>
    <xf numFmtId="0" fontId="37" fillId="10" borderId="0" xfId="0" applyFont="1" applyFill="1" applyBorder="1" applyProtection="1"/>
    <xf numFmtId="184" fontId="11" fillId="9" borderId="5" xfId="2" applyNumberFormat="1" applyFont="1" applyFill="1" applyBorder="1" applyAlignment="1" applyProtection="1">
      <alignment horizontal="center" vertical="center"/>
    </xf>
    <xf numFmtId="179" fontId="42" fillId="9" borderId="5" xfId="2" applyNumberFormat="1" applyFont="1" applyFill="1" applyBorder="1" applyAlignment="1" applyProtection="1">
      <alignment horizontal="center" vertical="center"/>
    </xf>
    <xf numFmtId="198" fontId="11" fillId="6" borderId="2" xfId="2" applyNumberFormat="1" applyFont="1" applyFill="1" applyBorder="1" applyAlignment="1" applyProtection="1">
      <alignment horizontal="center" vertical="center"/>
    </xf>
    <xf numFmtId="188" fontId="3" fillId="10" borderId="2" xfId="0" quotePrefix="1" applyNumberFormat="1" applyFont="1" applyFill="1" applyBorder="1" applyAlignment="1">
      <alignment horizontal="center" vertical="center"/>
    </xf>
    <xf numFmtId="176" fontId="20" fillId="10" borderId="0" xfId="2" applyNumberFormat="1" applyFont="1" applyFill="1" applyAlignment="1" applyProtection="1">
      <alignment horizontal="center" vertical="center"/>
    </xf>
    <xf numFmtId="195" fontId="5" fillId="0" borderId="0" xfId="2" applyNumberFormat="1" applyFont="1" applyAlignment="1" applyProtection="1">
      <alignment vertical="center"/>
    </xf>
    <xf numFmtId="177" fontId="5" fillId="10" borderId="2" xfId="1" applyNumberFormat="1" applyFont="1" applyFill="1" applyBorder="1" applyAlignment="1" applyProtection="1">
      <alignment horizontal="center" vertical="center"/>
    </xf>
    <xf numFmtId="10" fontId="5" fillId="4" borderId="0" xfId="2" applyNumberFormat="1" applyFont="1" applyFill="1" applyAlignment="1" applyProtection="1">
      <alignment horizontal="center" vertical="center"/>
      <protection locked="0"/>
    </xf>
    <xf numFmtId="0" fontId="10" fillId="10" borderId="0" xfId="0" applyFont="1" applyFill="1" applyAlignment="1">
      <alignment horizontal="left"/>
    </xf>
    <xf numFmtId="179" fontId="5" fillId="10" borderId="0" xfId="2" applyNumberFormat="1" applyFont="1" applyFill="1" applyAlignment="1" applyProtection="1">
      <alignment horizontal="center" vertical="center"/>
    </xf>
    <xf numFmtId="0" fontId="45" fillId="12" borderId="0" xfId="2" applyFont="1" applyFill="1" applyAlignment="1" applyProtection="1">
      <alignment vertical="center"/>
    </xf>
    <xf numFmtId="179" fontId="45" fillId="12" borderId="0" xfId="2" applyNumberFormat="1" applyFont="1" applyFill="1" applyAlignment="1" applyProtection="1">
      <alignment vertical="center"/>
    </xf>
    <xf numFmtId="182" fontId="11" fillId="10" borderId="0" xfId="2" applyNumberFormat="1" applyFont="1" applyFill="1" applyAlignment="1" applyProtection="1">
      <alignment horizontal="center" vertical="center"/>
    </xf>
    <xf numFmtId="182" fontId="8" fillId="8" borderId="0" xfId="2" applyNumberFormat="1" applyFont="1" applyFill="1" applyAlignment="1" applyProtection="1">
      <alignment horizontal="center" vertical="center"/>
      <protection locked="0"/>
    </xf>
    <xf numFmtId="0" fontId="6" fillId="0" borderId="0" xfId="2" applyFont="1" applyAlignment="1">
      <alignment horizontal="right" vertical="center"/>
    </xf>
    <xf numFmtId="0" fontId="5" fillId="10" borderId="2" xfId="2" applyFont="1" applyFill="1" applyBorder="1" applyAlignment="1" applyProtection="1">
      <alignment horizontal="right" vertical="center"/>
    </xf>
    <xf numFmtId="0" fontId="46" fillId="10" borderId="0" xfId="0" applyFont="1" applyFill="1" applyProtection="1"/>
    <xf numFmtId="0" fontId="47" fillId="10" borderId="0" xfId="2" applyFont="1" applyFill="1" applyAlignment="1" applyProtection="1">
      <alignment vertical="center"/>
    </xf>
    <xf numFmtId="0" fontId="46" fillId="10" borderId="0" xfId="0" applyFont="1" applyFill="1" applyAlignment="1" applyProtection="1">
      <alignment horizontal="center" vertical="center"/>
    </xf>
    <xf numFmtId="11" fontId="46" fillId="10" borderId="0" xfId="0" applyNumberFormat="1" applyFont="1" applyFill="1" applyProtection="1"/>
    <xf numFmtId="195" fontId="47" fillId="10" borderId="0" xfId="2" applyNumberFormat="1" applyFont="1" applyFill="1" applyAlignment="1" applyProtection="1">
      <alignment horizontal="center" vertical="center"/>
    </xf>
    <xf numFmtId="195" fontId="46" fillId="10" borderId="0" xfId="0" applyNumberFormat="1" applyFont="1" applyFill="1" applyAlignment="1" applyProtection="1">
      <alignment horizontal="center" vertical="center"/>
    </xf>
    <xf numFmtId="197" fontId="46" fillId="10" borderId="0" xfId="0" applyNumberFormat="1" applyFont="1" applyFill="1" applyAlignment="1" applyProtection="1">
      <alignment horizontal="center" vertical="center"/>
    </xf>
    <xf numFmtId="0" fontId="47" fillId="10" borderId="0" xfId="2" applyFont="1" applyFill="1" applyAlignment="1" applyProtection="1">
      <alignment horizontal="right" vertical="center"/>
    </xf>
    <xf numFmtId="188" fontId="47" fillId="10" borderId="0" xfId="2" applyNumberFormat="1" applyFont="1" applyFill="1" applyAlignment="1" applyProtection="1">
      <alignment horizontal="center" vertical="center"/>
    </xf>
    <xf numFmtId="0" fontId="47" fillId="10" borderId="0" xfId="2" applyFont="1" applyFill="1" applyAlignment="1" applyProtection="1">
      <alignment horizontal="center" vertical="center"/>
    </xf>
    <xf numFmtId="0" fontId="48" fillId="10" borderId="0" xfId="5" applyFont="1" applyFill="1" applyProtection="1"/>
    <xf numFmtId="200" fontId="46" fillId="10" borderId="0" xfId="0" applyNumberFormat="1" applyFont="1" applyFill="1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18" fillId="11" borderId="0" xfId="0" applyFont="1" applyFill="1" applyAlignment="1">
      <alignment horizontal="left" vertical="center"/>
    </xf>
    <xf numFmtId="0" fontId="18" fillId="0" borderId="11" xfId="2" applyFont="1" applyBorder="1" applyAlignment="1" applyProtection="1">
      <alignment horizontal="right" vertical="center"/>
    </xf>
    <xf numFmtId="0" fontId="18" fillId="0" borderId="12" xfId="2" applyFont="1" applyBorder="1" applyAlignment="1" applyProtection="1">
      <alignment horizontal="right" vertical="center"/>
    </xf>
    <xf numFmtId="0" fontId="6" fillId="10" borderId="0" xfId="2" applyFont="1" applyFill="1" applyAlignment="1" applyProtection="1">
      <alignment horizontal="center" vertical="center"/>
    </xf>
    <xf numFmtId="0" fontId="6" fillId="10" borderId="0" xfId="2" applyFont="1" applyFill="1" applyBorder="1" applyAlignment="1" applyProtection="1">
      <alignment horizontal="center" vertical="center"/>
    </xf>
    <xf numFmtId="0" fontId="6" fillId="0" borderId="0" xfId="2" applyFont="1" applyAlignment="1" applyProtection="1">
      <alignment horizontal="center" vertical="center"/>
    </xf>
    <xf numFmtId="0" fontId="8" fillId="0" borderId="2" xfId="2" applyFont="1" applyBorder="1" applyAlignment="1" applyProtection="1">
      <alignment horizontal="center" vertical="center"/>
    </xf>
    <xf numFmtId="0" fontId="10" fillId="7" borderId="0" xfId="2" applyFont="1" applyFill="1" applyAlignment="1" applyProtection="1">
      <alignment horizontal="center" vertical="center"/>
    </xf>
    <xf numFmtId="0" fontId="10" fillId="9" borderId="0" xfId="2" applyFont="1" applyFill="1" applyAlignment="1" applyProtection="1">
      <alignment horizontal="center" vertical="center" wrapText="1"/>
    </xf>
    <xf numFmtId="0" fontId="10" fillId="9" borderId="0" xfId="2" applyFont="1" applyFill="1" applyAlignment="1" applyProtection="1">
      <alignment horizontal="center" vertical="center"/>
    </xf>
    <xf numFmtId="177" fontId="18" fillId="0" borderId="9" xfId="1" applyNumberFormat="1" applyFont="1" applyBorder="1" applyAlignment="1" applyProtection="1">
      <alignment horizontal="left" vertical="center"/>
    </xf>
    <xf numFmtId="177" fontId="18" fillId="0" borderId="10" xfId="1" applyNumberFormat="1" applyFont="1" applyBorder="1" applyAlignment="1" applyProtection="1">
      <alignment horizontal="left" vertical="center"/>
    </xf>
    <xf numFmtId="0" fontId="10" fillId="13" borderId="0" xfId="2" applyFont="1" applyFill="1" applyAlignment="1" applyProtection="1">
      <alignment horizontal="center" vertical="center" wrapText="1"/>
    </xf>
    <xf numFmtId="0" fontId="10" fillId="13" borderId="0" xfId="2" applyFont="1" applyFill="1" applyAlignment="1" applyProtection="1">
      <alignment horizontal="center" vertical="center"/>
    </xf>
    <xf numFmtId="0" fontId="8" fillId="0" borderId="0" xfId="2" applyFont="1" applyAlignment="1" applyProtection="1">
      <alignment horizontal="right" vertical="center"/>
    </xf>
    <xf numFmtId="0" fontId="10" fillId="4" borderId="7" xfId="2" applyFont="1" applyFill="1" applyBorder="1" applyAlignment="1" applyProtection="1">
      <alignment horizontal="center" vertical="center" wrapText="1"/>
    </xf>
    <xf numFmtId="0" fontId="10" fillId="4" borderId="0" xfId="2" applyFont="1" applyFill="1" applyBorder="1" applyAlignment="1" applyProtection="1">
      <alignment horizontal="center" vertical="center" wrapText="1"/>
    </xf>
    <xf numFmtId="0" fontId="10" fillId="8" borderId="0" xfId="2" applyFont="1" applyFill="1" applyBorder="1" applyAlignment="1" applyProtection="1">
      <alignment horizontal="center" vertical="center" wrapText="1"/>
    </xf>
    <xf numFmtId="0" fontId="10" fillId="8" borderId="8" xfId="2" applyFont="1" applyFill="1" applyBorder="1" applyAlignment="1" applyProtection="1">
      <alignment horizontal="center" vertical="center" wrapText="1"/>
    </xf>
    <xf numFmtId="0" fontId="10" fillId="14" borderId="0" xfId="2" applyFont="1" applyFill="1" applyAlignment="1" applyProtection="1">
      <alignment horizontal="center" vertical="center"/>
    </xf>
    <xf numFmtId="0" fontId="18" fillId="10" borderId="11" xfId="2" applyFont="1" applyFill="1" applyBorder="1" applyAlignment="1" applyProtection="1">
      <alignment horizontal="right" vertical="center"/>
    </xf>
    <xf numFmtId="0" fontId="18" fillId="10" borderId="12" xfId="2" applyFont="1" applyFill="1" applyBorder="1" applyAlignment="1" applyProtection="1">
      <alignment horizontal="right" vertical="center"/>
    </xf>
    <xf numFmtId="177" fontId="18" fillId="10" borderId="9" xfId="1" applyNumberFormat="1" applyFont="1" applyFill="1" applyBorder="1" applyAlignment="1" applyProtection="1">
      <alignment horizontal="left" vertical="center"/>
    </xf>
    <xf numFmtId="177" fontId="18" fillId="10" borderId="10" xfId="1" applyNumberFormat="1" applyFont="1" applyFill="1" applyBorder="1" applyAlignment="1" applyProtection="1">
      <alignment horizontal="left" vertical="center"/>
    </xf>
    <xf numFmtId="0" fontId="8" fillId="9" borderId="13" xfId="2" applyFont="1" applyFill="1" applyBorder="1" applyAlignment="1" applyProtection="1">
      <alignment horizontal="center" vertical="center"/>
    </xf>
    <xf numFmtId="0" fontId="8" fillId="9" borderId="14" xfId="2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 wrapText="1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top" wrapText="1"/>
    </xf>
    <xf numFmtId="0" fontId="5" fillId="0" borderId="4" xfId="2" applyFont="1" applyBorder="1" applyAlignment="1" applyProtection="1">
      <alignment horizontal="center" vertical="top" wrapText="1"/>
    </xf>
    <xf numFmtId="0" fontId="5" fillId="0" borderId="5" xfId="2" applyFont="1" applyBorder="1" applyAlignment="1" applyProtection="1">
      <alignment horizontal="center" vertical="top" wrapText="1"/>
    </xf>
    <xf numFmtId="0" fontId="5" fillId="0" borderId="3" xfId="2" applyFont="1" applyBorder="1" applyAlignment="1" applyProtection="1">
      <alignment horizontal="center" vertical="center" wrapText="1"/>
    </xf>
    <xf numFmtId="0" fontId="5" fillId="0" borderId="5" xfId="2" applyFont="1" applyBorder="1" applyAlignment="1" applyProtection="1">
      <alignment horizontal="center" vertical="center" wrapText="1"/>
    </xf>
    <xf numFmtId="0" fontId="5" fillId="10" borderId="3" xfId="2" applyFont="1" applyFill="1" applyBorder="1" applyAlignment="1" applyProtection="1">
      <alignment horizontal="center" vertical="center"/>
    </xf>
    <xf numFmtId="0" fontId="5" fillId="10" borderId="5" xfId="2" applyFont="1" applyFill="1" applyBorder="1" applyAlignment="1" applyProtection="1">
      <alignment horizontal="center" vertical="center"/>
    </xf>
    <xf numFmtId="0" fontId="5" fillId="0" borderId="3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10" borderId="2" xfId="2" applyFont="1" applyFill="1" applyBorder="1" applyAlignment="1" applyProtection="1">
      <alignment horizontal="center" vertical="center"/>
    </xf>
    <xf numFmtId="0" fontId="5" fillId="10" borderId="3" xfId="2" applyFont="1" applyFill="1" applyBorder="1" applyAlignment="1" applyProtection="1">
      <alignment horizontal="center" vertical="top"/>
    </xf>
    <xf numFmtId="0" fontId="5" fillId="10" borderId="4" xfId="2" applyFont="1" applyFill="1" applyBorder="1" applyAlignment="1" applyProtection="1">
      <alignment horizontal="center" vertical="top"/>
    </xf>
    <xf numFmtId="0" fontId="5" fillId="10" borderId="5" xfId="2" applyFont="1" applyFill="1" applyBorder="1" applyAlignment="1" applyProtection="1">
      <alignment horizontal="center" vertical="top"/>
    </xf>
  </cellXfs>
  <cellStyles count="7">
    <cellStyle name="Explanatory Text" xfId="6" builtinId="53"/>
    <cellStyle name="Hyperlink" xfId="5" builtinId="8"/>
    <cellStyle name="Normal" xfId="0" builtinId="0"/>
    <cellStyle name="Normal 2" xfId="2" xr:uid="{00000000-0005-0000-0000-000001000000}"/>
    <cellStyle name="Normal 3" xfId="3" xr:uid="{00000000-0005-0000-0000-000002000000}"/>
    <cellStyle name="Normal 4" xfId="4" xr:uid="{E53FAFFA-B55F-4708-8926-137CEE1E50B1}"/>
    <cellStyle name="Percent" xfId="1" builtinId="5"/>
  </cellStyles>
  <dxfs count="30">
    <dxf>
      <font>
        <b/>
        <i val="0"/>
        <color rgb="FFFF0000"/>
      </font>
      <fill>
        <patternFill>
          <bgColor theme="5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969696"/>
      <color rgb="FF33CC33"/>
      <color rgb="FF56EE32"/>
      <color rgb="FFFF9900"/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232847</xdr:colOff>
      <xdr:row>0</xdr:row>
      <xdr:rowOff>158750</xdr:rowOff>
    </xdr:from>
    <xdr:to>
      <xdr:col>1</xdr:col>
      <xdr:colOff>2525887</xdr:colOff>
      <xdr:row>5</xdr:row>
      <xdr:rowOff>122555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847" y="158750"/>
          <a:ext cx="229748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123391</xdr:colOff>
      <xdr:row>0</xdr:row>
      <xdr:rowOff>148228</xdr:rowOff>
    </xdr:from>
    <xdr:to>
      <xdr:col>26</xdr:col>
      <xdr:colOff>12219</xdr:colOff>
      <xdr:row>3</xdr:row>
      <xdr:rowOff>27578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26215" y="148228"/>
          <a:ext cx="1137537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B26"/>
  <sheetViews>
    <sheetView zoomScaleNormal="100" workbookViewId="0">
      <selection activeCell="B9" sqref="B9"/>
    </sheetView>
  </sheetViews>
  <sheetFormatPr defaultColWidth="9.33203125" defaultRowHeight="13.8" x14ac:dyDescent="0.25"/>
  <cols>
    <col min="1" max="1" width="1.6640625" style="8" customWidth="1"/>
    <col min="2" max="2" width="132.33203125" style="8" bestFit="1" customWidth="1"/>
    <col min="3" max="3" width="13.6640625" style="8" customWidth="1"/>
    <col min="4" max="10" width="9.33203125" style="8"/>
    <col min="11" max="11" width="37.44140625" style="8" customWidth="1"/>
    <col min="12" max="16384" width="9.33203125" style="8"/>
  </cols>
  <sheetData>
    <row r="1" spans="2:2" x14ac:dyDescent="0.25">
      <c r="B1" s="9"/>
    </row>
    <row r="2" spans="2:2" x14ac:dyDescent="0.25">
      <c r="B2" s="9"/>
    </row>
    <row r="3" spans="2:2" x14ac:dyDescent="0.25">
      <c r="B3" s="9"/>
    </row>
    <row r="4" spans="2:2" x14ac:dyDescent="0.25">
      <c r="B4" s="9"/>
    </row>
    <row r="5" spans="2:2" x14ac:dyDescent="0.25">
      <c r="B5" s="9"/>
    </row>
    <row r="6" spans="2:2" x14ac:dyDescent="0.25">
      <c r="B6" s="9"/>
    </row>
    <row r="7" spans="2:2" x14ac:dyDescent="0.25">
      <c r="B7" s="9"/>
    </row>
    <row r="8" spans="2:2" x14ac:dyDescent="0.25">
      <c r="B8" s="10" t="s">
        <v>30</v>
      </c>
    </row>
    <row r="9" spans="2:2" x14ac:dyDescent="0.25">
      <c r="B9" s="9" t="s">
        <v>355</v>
      </c>
    </row>
    <row r="10" spans="2:2" x14ac:dyDescent="0.25">
      <c r="B10" s="9"/>
    </row>
    <row r="11" spans="2:2" x14ac:dyDescent="0.25">
      <c r="B11" s="10" t="s">
        <v>31</v>
      </c>
    </row>
    <row r="12" spans="2:2" x14ac:dyDescent="0.25">
      <c r="B12" s="207">
        <v>7</v>
      </c>
    </row>
    <row r="13" spans="2:2" x14ac:dyDescent="0.25">
      <c r="B13" s="9"/>
    </row>
    <row r="14" spans="2:2" x14ac:dyDescent="0.25">
      <c r="B14" s="10" t="s">
        <v>28</v>
      </c>
    </row>
    <row r="15" spans="2:2" x14ac:dyDescent="0.25">
      <c r="B15" s="229" t="s">
        <v>354</v>
      </c>
    </row>
    <row r="16" spans="2:2" x14ac:dyDescent="0.25">
      <c r="B16" s="9"/>
    </row>
    <row r="17" spans="2:2" x14ac:dyDescent="0.25">
      <c r="B17" s="10" t="s">
        <v>27</v>
      </c>
    </row>
    <row r="18" spans="2:2" x14ac:dyDescent="0.25">
      <c r="B18" s="9" t="s">
        <v>351</v>
      </c>
    </row>
    <row r="19" spans="2:2" x14ac:dyDescent="0.25">
      <c r="B19" s="9"/>
    </row>
    <row r="20" spans="2:2" x14ac:dyDescent="0.25">
      <c r="B20" s="10" t="s">
        <v>29</v>
      </c>
    </row>
    <row r="21" spans="2:2" x14ac:dyDescent="0.25">
      <c r="B21" s="9" t="s">
        <v>93</v>
      </c>
    </row>
    <row r="22" spans="2:2" x14ac:dyDescent="0.25">
      <c r="B22" s="9"/>
    </row>
    <row r="23" spans="2:2" x14ac:dyDescent="0.25">
      <c r="B23" s="9"/>
    </row>
    <row r="24" spans="2:2" x14ac:dyDescent="0.25">
      <c r="B24" s="9"/>
    </row>
    <row r="25" spans="2:2" x14ac:dyDescent="0.25">
      <c r="B25" s="9"/>
    </row>
    <row r="26" spans="2:2" x14ac:dyDescent="0.25">
      <c r="B26" s="9"/>
    </row>
  </sheetData>
  <sheetProtection algorithmName="SHA-512" hashValue="7h63yb/1Bp0rMDALr522Xx60E85LxeazawzTBQY82EIlIzVJxAW8Yb3zKMsLJsEuNbYepR2oWi/GLiV7zAaMOw==" saltValue="W6CUrXcMmjvtbhmXdgcGRA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D9"/>
  <sheetViews>
    <sheetView topLeftCell="A3" zoomScaleNormal="100" workbookViewId="0">
      <selection activeCell="D9" sqref="D9"/>
    </sheetView>
  </sheetViews>
  <sheetFormatPr defaultColWidth="9.33203125" defaultRowHeight="13.2" x14ac:dyDescent="0.25"/>
  <cols>
    <col min="1" max="1" width="4.6640625" style="6" customWidth="1"/>
    <col min="2" max="3" width="20.6640625" style="4" customWidth="1"/>
    <col min="4" max="4" width="115.6640625" style="4" customWidth="1"/>
    <col min="5" max="16384" width="9.33203125" style="6"/>
  </cols>
  <sheetData>
    <row r="1" spans="2:4" ht="15" customHeight="1" x14ac:dyDescent="0.25"/>
    <row r="2" spans="2:4" s="5" customFormat="1" ht="20.100000000000001" customHeight="1" x14ac:dyDescent="0.25">
      <c r="B2" s="114" t="s">
        <v>24</v>
      </c>
      <c r="C2" s="114" t="s">
        <v>25</v>
      </c>
      <c r="D2" s="114" t="s">
        <v>26</v>
      </c>
    </row>
    <row r="3" spans="2:4" ht="30" customHeight="1" x14ac:dyDescent="0.25">
      <c r="B3" s="224">
        <v>1</v>
      </c>
      <c r="C3" s="78">
        <v>44713</v>
      </c>
      <c r="D3" s="7" t="s">
        <v>100</v>
      </c>
    </row>
    <row r="4" spans="2:4" ht="66" x14ac:dyDescent="0.25">
      <c r="B4" s="224">
        <v>2</v>
      </c>
      <c r="C4" s="78">
        <v>44893</v>
      </c>
      <c r="D4" s="143" t="s">
        <v>361</v>
      </c>
    </row>
    <row r="5" spans="2:4" ht="79.2" x14ac:dyDescent="0.25">
      <c r="B5" s="224">
        <v>3</v>
      </c>
      <c r="C5" s="78">
        <v>44930</v>
      </c>
      <c r="D5" s="143" t="s">
        <v>362</v>
      </c>
    </row>
    <row r="6" spans="2:4" ht="39.6" x14ac:dyDescent="0.25">
      <c r="B6" s="224">
        <v>4</v>
      </c>
      <c r="C6" s="78">
        <v>44960</v>
      </c>
      <c r="D6" s="143" t="s">
        <v>363</v>
      </c>
    </row>
    <row r="7" spans="2:4" ht="92.4" x14ac:dyDescent="0.25">
      <c r="B7" s="224">
        <v>5</v>
      </c>
      <c r="C7" s="78">
        <v>45061</v>
      </c>
      <c r="D7" s="143" t="s">
        <v>368</v>
      </c>
    </row>
    <row r="8" spans="2:4" ht="66" x14ac:dyDescent="0.25">
      <c r="B8" s="224">
        <v>6</v>
      </c>
      <c r="C8" s="78">
        <v>45084</v>
      </c>
      <c r="D8" s="143" t="s">
        <v>373</v>
      </c>
    </row>
    <row r="9" spans="2:4" ht="39.6" x14ac:dyDescent="0.25">
      <c r="B9" s="224">
        <v>7</v>
      </c>
      <c r="C9" s="78">
        <v>45138</v>
      </c>
      <c r="D9" s="143" t="s">
        <v>375</v>
      </c>
    </row>
  </sheetData>
  <sheetProtection algorithmName="SHA-512" hashValue="5ZpEZRUAcfY6ndB9IhvVFrlof1ytBcxJ8sTI/AQi3VUHI/0pNBWtOKIN1jrI8sWgI6bXC4wXPvtW+WhTDQhoWw==" saltValue="OwRzb72h7t41ti2vnocA4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G75"/>
  <sheetViews>
    <sheetView topLeftCell="A22" zoomScale="85" zoomScaleNormal="85" workbookViewId="0">
      <selection activeCell="AE42" sqref="AE42"/>
    </sheetView>
  </sheetViews>
  <sheetFormatPr defaultColWidth="9.33203125" defaultRowHeight="15" customHeight="1" x14ac:dyDescent="0.25"/>
  <cols>
    <col min="1" max="1" width="2" style="6" customWidth="1"/>
    <col min="2" max="26" width="4.6640625" style="6" customWidth="1"/>
    <col min="27" max="27" width="2.6640625" style="6" customWidth="1"/>
    <col min="28" max="28" width="4.6640625" style="6" customWidth="1"/>
    <col min="29" max="29" width="53.5546875" style="6" bestFit="1" customWidth="1"/>
    <col min="30" max="30" width="11.5546875" style="6" bestFit="1" customWidth="1"/>
    <col min="31" max="31" width="91.33203125" style="6" bestFit="1" customWidth="1"/>
    <col min="32" max="32" width="4.6640625" style="6" customWidth="1"/>
    <col min="33" max="33" width="2.6640625" style="6" customWidth="1"/>
    <col min="34" max="16384" width="9.33203125" style="6"/>
  </cols>
  <sheetData>
    <row r="1" spans="1:33" ht="15" customHeight="1" x14ac:dyDescent="0.25">
      <c r="A1" s="81"/>
      <c r="B1" s="82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3"/>
      <c r="AD1" s="83"/>
      <c r="AE1" s="83"/>
      <c r="AF1" s="81"/>
      <c r="AG1" s="81"/>
    </row>
    <row r="2" spans="1:33" ht="15" customHeight="1" x14ac:dyDescent="0.25">
      <c r="A2" s="84"/>
      <c r="B2" s="250" t="s">
        <v>101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84"/>
      <c r="AA2" s="81"/>
      <c r="AB2" s="84"/>
      <c r="AC2" s="250" t="s">
        <v>108</v>
      </c>
      <c r="AD2" s="250"/>
      <c r="AE2" s="250"/>
      <c r="AF2" s="93"/>
      <c r="AG2" s="81"/>
    </row>
    <row r="3" spans="1:33" ht="15" customHeight="1" x14ac:dyDescent="0.25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3"/>
      <c r="AB3" s="84"/>
      <c r="AC3" s="84"/>
      <c r="AD3" s="84"/>
      <c r="AE3" s="84"/>
      <c r="AF3" s="84"/>
      <c r="AG3" s="83"/>
    </row>
    <row r="4" spans="1:33" ht="15" customHeight="1" x14ac:dyDescent="0.25">
      <c r="A4" s="85"/>
      <c r="B4" s="85" t="s">
        <v>22</v>
      </c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6"/>
      <c r="AB4" s="85"/>
      <c r="AC4" s="115" t="s">
        <v>112</v>
      </c>
      <c r="AD4" s="115" t="s">
        <v>111</v>
      </c>
      <c r="AE4" s="115" t="s">
        <v>110</v>
      </c>
      <c r="AF4" s="85"/>
      <c r="AG4" s="86"/>
    </row>
    <row r="5" spans="1:33" ht="15" customHeight="1" x14ac:dyDescent="0.25">
      <c r="A5" s="87"/>
      <c r="B5" s="88"/>
      <c r="C5" s="88" t="s">
        <v>50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9"/>
      <c r="AB5" s="87"/>
      <c r="AC5" s="213" t="s">
        <v>279</v>
      </c>
      <c r="AD5" s="79"/>
      <c r="AE5" s="79"/>
      <c r="AF5" s="87"/>
      <c r="AG5" s="89"/>
    </row>
    <row r="6" spans="1:33" ht="15" customHeight="1" x14ac:dyDescent="0.25">
      <c r="A6" s="87"/>
      <c r="B6" s="88"/>
      <c r="C6" s="88" t="s">
        <v>283</v>
      </c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9"/>
      <c r="AB6" s="87"/>
      <c r="AC6" s="94" t="s">
        <v>114</v>
      </c>
      <c r="AD6" s="218" t="s">
        <v>113</v>
      </c>
      <c r="AE6" s="116" t="s">
        <v>295</v>
      </c>
      <c r="AF6" s="87"/>
      <c r="AG6" s="89"/>
    </row>
    <row r="7" spans="1:33" ht="15" customHeight="1" x14ac:dyDescent="0.25">
      <c r="A7" s="87"/>
      <c r="B7" s="88"/>
      <c r="C7" s="88" t="s">
        <v>102</v>
      </c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9"/>
      <c r="AB7" s="87"/>
      <c r="AC7" s="94" t="s">
        <v>115</v>
      </c>
      <c r="AD7" s="94" t="s">
        <v>294</v>
      </c>
      <c r="AE7" s="116" t="s">
        <v>332</v>
      </c>
      <c r="AF7" s="87"/>
      <c r="AG7" s="89"/>
    </row>
    <row r="8" spans="1:33" ht="15" customHeight="1" x14ac:dyDescent="0.25">
      <c r="A8" s="87"/>
      <c r="B8" s="88"/>
      <c r="C8" s="88" t="s">
        <v>55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9"/>
      <c r="AB8" s="87"/>
      <c r="AC8" s="94" t="s">
        <v>144</v>
      </c>
      <c r="AD8" s="94" t="s">
        <v>3</v>
      </c>
      <c r="AE8" s="116" t="s">
        <v>290</v>
      </c>
      <c r="AF8" s="87"/>
      <c r="AG8" s="89"/>
    </row>
    <row r="9" spans="1:33" ht="15" customHeight="1" x14ac:dyDescent="0.25">
      <c r="A9" s="84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83"/>
      <c r="AB9" s="84"/>
      <c r="AC9" s="94" t="s">
        <v>325</v>
      </c>
      <c r="AD9" s="94" t="s">
        <v>146</v>
      </c>
      <c r="AE9" s="116" t="s">
        <v>311</v>
      </c>
      <c r="AF9" s="84"/>
      <c r="AG9" s="83"/>
    </row>
    <row r="10" spans="1:33" ht="15" customHeight="1" x14ac:dyDescent="0.25">
      <c r="A10" s="87"/>
      <c r="B10" s="91" t="s">
        <v>258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9"/>
      <c r="AB10" s="87"/>
      <c r="AC10" s="94" t="s">
        <v>326</v>
      </c>
      <c r="AD10" s="94" t="s">
        <v>147</v>
      </c>
      <c r="AE10" s="116" t="s">
        <v>312</v>
      </c>
      <c r="AF10" s="87"/>
      <c r="AG10" s="89"/>
    </row>
    <row r="11" spans="1:33" ht="15" customHeight="1" x14ac:dyDescent="0.25">
      <c r="A11" s="87"/>
      <c r="B11" s="88"/>
      <c r="C11" s="88" t="s">
        <v>54</v>
      </c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9"/>
      <c r="AB11" s="87"/>
      <c r="AC11" s="94" t="s">
        <v>324</v>
      </c>
      <c r="AD11" s="94" t="s">
        <v>13</v>
      </c>
      <c r="AE11" s="116" t="s">
        <v>310</v>
      </c>
      <c r="AF11" s="87"/>
      <c r="AG11" s="89"/>
    </row>
    <row r="12" spans="1:33" ht="15" customHeight="1" x14ac:dyDescent="0.25">
      <c r="A12" s="84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83"/>
      <c r="AB12" s="84"/>
      <c r="AC12" s="94" t="s">
        <v>116</v>
      </c>
      <c r="AD12" s="94" t="s">
        <v>39</v>
      </c>
      <c r="AE12" s="116" t="s">
        <v>291</v>
      </c>
      <c r="AF12" s="84"/>
      <c r="AG12" s="83"/>
    </row>
    <row r="13" spans="1:33" ht="15" customHeight="1" x14ac:dyDescent="0.25">
      <c r="A13" s="87"/>
      <c r="B13" s="91" t="s">
        <v>259</v>
      </c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9"/>
      <c r="AB13" s="87"/>
      <c r="AC13" s="94" t="s">
        <v>118</v>
      </c>
      <c r="AD13" s="94" t="s">
        <v>40</v>
      </c>
      <c r="AE13" s="116" t="s">
        <v>292</v>
      </c>
      <c r="AF13" s="87"/>
      <c r="AG13" s="89"/>
    </row>
    <row r="14" spans="1:33" ht="15" customHeight="1" x14ac:dyDescent="0.25">
      <c r="A14" s="87"/>
      <c r="B14" s="91"/>
      <c r="C14" s="88" t="s">
        <v>247</v>
      </c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9"/>
      <c r="AB14" s="87"/>
      <c r="AC14" s="94" t="s">
        <v>125</v>
      </c>
      <c r="AD14" s="94" t="s">
        <v>126</v>
      </c>
      <c r="AE14" s="116" t="s">
        <v>296</v>
      </c>
      <c r="AF14" s="87"/>
      <c r="AG14" s="89"/>
    </row>
    <row r="15" spans="1:33" ht="15" customHeight="1" x14ac:dyDescent="0.25">
      <c r="A15" s="87"/>
      <c r="B15" s="91"/>
      <c r="C15" s="88" t="s">
        <v>248</v>
      </c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9"/>
      <c r="AB15" s="87"/>
      <c r="AC15" s="94" t="s">
        <v>138</v>
      </c>
      <c r="AD15" s="94" t="s">
        <v>135</v>
      </c>
      <c r="AE15" s="116" t="s">
        <v>297</v>
      </c>
      <c r="AF15" s="87"/>
      <c r="AG15" s="89"/>
    </row>
    <row r="16" spans="1:33" ht="15" customHeight="1" x14ac:dyDescent="0.25">
      <c r="A16" s="87"/>
      <c r="B16" s="91"/>
      <c r="C16" s="88" t="s">
        <v>250</v>
      </c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9"/>
      <c r="AB16" s="87"/>
      <c r="AC16" s="94" t="s">
        <v>117</v>
      </c>
      <c r="AD16" s="94" t="s">
        <v>41</v>
      </c>
      <c r="AE16" s="116" t="s">
        <v>298</v>
      </c>
      <c r="AF16" s="87"/>
      <c r="AG16" s="89"/>
    </row>
    <row r="17" spans="1:33" ht="15" customHeight="1" x14ac:dyDescent="0.25">
      <c r="A17" s="84"/>
      <c r="B17" s="91"/>
      <c r="C17" s="88" t="s">
        <v>249</v>
      </c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83"/>
      <c r="AB17" s="84"/>
      <c r="AC17" s="94" t="s">
        <v>123</v>
      </c>
      <c r="AD17" s="94" t="s">
        <v>42</v>
      </c>
      <c r="AE17" s="116" t="s">
        <v>302</v>
      </c>
      <c r="AF17" s="84"/>
      <c r="AG17" s="83"/>
    </row>
    <row r="18" spans="1:33" ht="15" customHeight="1" x14ac:dyDescent="0.25">
      <c r="A18" s="84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83"/>
      <c r="AB18" s="84"/>
      <c r="AC18" s="94" t="s">
        <v>129</v>
      </c>
      <c r="AD18" s="94" t="s">
        <v>130</v>
      </c>
      <c r="AE18" s="116" t="s">
        <v>299</v>
      </c>
      <c r="AF18" s="84"/>
      <c r="AG18" s="83"/>
    </row>
    <row r="19" spans="1:33" ht="15" customHeight="1" x14ac:dyDescent="0.25">
      <c r="A19" s="87"/>
      <c r="B19" s="91" t="s">
        <v>260</v>
      </c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9"/>
      <c r="AB19" s="84"/>
      <c r="AC19" s="94" t="s">
        <v>136</v>
      </c>
      <c r="AD19" s="94" t="s">
        <v>137</v>
      </c>
      <c r="AE19" s="116" t="s">
        <v>300</v>
      </c>
      <c r="AF19" s="84"/>
      <c r="AG19" s="89"/>
    </row>
    <row r="20" spans="1:33" ht="15" customHeight="1" x14ac:dyDescent="0.25">
      <c r="A20" s="87"/>
      <c r="B20" s="91"/>
      <c r="C20" s="88" t="s">
        <v>251</v>
      </c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9"/>
      <c r="AB20" s="87"/>
      <c r="AC20" s="94" t="s">
        <v>131</v>
      </c>
      <c r="AD20" s="94" t="s">
        <v>134</v>
      </c>
      <c r="AE20" s="116" t="s">
        <v>301</v>
      </c>
      <c r="AF20" s="87"/>
      <c r="AG20" s="89"/>
    </row>
    <row r="21" spans="1:33" ht="15" customHeight="1" x14ac:dyDescent="0.25">
      <c r="A21" s="87"/>
      <c r="B21" s="91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9"/>
      <c r="AB21" s="87"/>
      <c r="AC21" s="94" t="s">
        <v>303</v>
      </c>
      <c r="AD21" s="94" t="s">
        <v>212</v>
      </c>
      <c r="AE21" s="116" t="s">
        <v>304</v>
      </c>
      <c r="AF21" s="87"/>
      <c r="AG21" s="89"/>
    </row>
    <row r="22" spans="1:33" ht="15" customHeight="1" x14ac:dyDescent="0.25">
      <c r="A22" s="87"/>
      <c r="B22" s="91" t="s">
        <v>261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9"/>
      <c r="AB22" s="87"/>
      <c r="AC22" s="94" t="s">
        <v>142</v>
      </c>
      <c r="AD22" s="94" t="s">
        <v>5</v>
      </c>
      <c r="AE22" s="116" t="s">
        <v>356</v>
      </c>
      <c r="AF22" s="87"/>
      <c r="AG22" s="89"/>
    </row>
    <row r="23" spans="1:33" ht="15" customHeight="1" x14ac:dyDescent="0.25">
      <c r="A23" s="84"/>
      <c r="B23" s="91"/>
      <c r="C23" s="88" t="s">
        <v>252</v>
      </c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83"/>
      <c r="AB23" s="87"/>
      <c r="AC23" s="94" t="s">
        <v>143</v>
      </c>
      <c r="AD23" s="94" t="s">
        <v>6</v>
      </c>
      <c r="AE23" s="116" t="s">
        <v>305</v>
      </c>
      <c r="AF23" s="87"/>
      <c r="AG23" s="83"/>
    </row>
    <row r="24" spans="1:33" ht="15" customHeight="1" x14ac:dyDescent="0.25">
      <c r="A24" s="84"/>
      <c r="B24" s="91"/>
      <c r="C24" s="88" t="s">
        <v>253</v>
      </c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83"/>
      <c r="AB24" s="84"/>
      <c r="AC24" s="94" t="s">
        <v>141</v>
      </c>
      <c r="AD24" s="94" t="s">
        <v>7</v>
      </c>
      <c r="AE24" s="116" t="s">
        <v>92</v>
      </c>
      <c r="AF24" s="84"/>
      <c r="AG24" s="83"/>
    </row>
    <row r="25" spans="1:33" ht="15" customHeight="1" x14ac:dyDescent="0.25">
      <c r="A25" s="84"/>
      <c r="B25" s="91"/>
      <c r="C25" s="88" t="s">
        <v>278</v>
      </c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83"/>
      <c r="AB25" s="84"/>
      <c r="AC25" s="94" t="s">
        <v>321</v>
      </c>
      <c r="AD25" s="94" t="s">
        <v>10</v>
      </c>
      <c r="AE25" s="116" t="s">
        <v>307</v>
      </c>
      <c r="AF25" s="84"/>
      <c r="AG25" s="83"/>
    </row>
    <row r="26" spans="1:33" ht="15" customHeight="1" x14ac:dyDescent="0.25">
      <c r="A26" s="84"/>
      <c r="B26" s="91"/>
      <c r="C26" s="88" t="s">
        <v>254</v>
      </c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83"/>
      <c r="AB26" s="84"/>
      <c r="AC26" s="94" t="s">
        <v>322</v>
      </c>
      <c r="AD26" s="94" t="s">
        <v>9</v>
      </c>
      <c r="AE26" s="116" t="s">
        <v>308</v>
      </c>
      <c r="AF26" s="84"/>
      <c r="AG26" s="83"/>
    </row>
    <row r="27" spans="1:33" ht="15" customHeight="1" x14ac:dyDescent="0.25">
      <c r="A27" s="84"/>
      <c r="B27" s="91"/>
      <c r="C27" s="88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83"/>
      <c r="AB27" s="84"/>
      <c r="AC27" s="94" t="s">
        <v>323</v>
      </c>
      <c r="AD27" s="219" t="s">
        <v>145</v>
      </c>
      <c r="AE27" s="116" t="s">
        <v>309</v>
      </c>
      <c r="AF27" s="84"/>
      <c r="AG27" s="83"/>
    </row>
    <row r="28" spans="1:33" ht="15" customHeight="1" x14ac:dyDescent="0.25">
      <c r="A28" s="87"/>
      <c r="B28" s="91" t="s">
        <v>262</v>
      </c>
      <c r="C28" s="88"/>
      <c r="D28" s="88"/>
      <c r="E28" s="88"/>
      <c r="F28" s="88"/>
      <c r="G28" s="88"/>
      <c r="H28" s="88"/>
      <c r="I28" s="88"/>
      <c r="J28" s="88"/>
      <c r="K28" s="88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83"/>
      <c r="AB28" s="84"/>
      <c r="AC28" s="84"/>
      <c r="AD28" s="84"/>
      <c r="AE28" s="84"/>
      <c r="AF28" s="84"/>
      <c r="AG28" s="83"/>
    </row>
    <row r="29" spans="1:33" ht="15" customHeight="1" x14ac:dyDescent="0.25">
      <c r="A29" s="87"/>
      <c r="B29" s="91"/>
      <c r="C29" s="88" t="s">
        <v>255</v>
      </c>
      <c r="D29" s="87"/>
      <c r="E29" s="87"/>
      <c r="F29" s="87"/>
      <c r="G29" s="87"/>
      <c r="H29" s="87"/>
      <c r="I29" s="87"/>
      <c r="J29" s="87"/>
      <c r="K29" s="87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83"/>
      <c r="AB29" s="84"/>
      <c r="AC29" s="214" t="s">
        <v>280</v>
      </c>
      <c r="AD29" s="80"/>
      <c r="AE29" s="80"/>
      <c r="AF29" s="84"/>
      <c r="AG29" s="83"/>
    </row>
    <row r="30" spans="1:33" ht="15" customHeight="1" x14ac:dyDescent="0.25">
      <c r="A30" s="84"/>
      <c r="B30" s="91"/>
      <c r="C30" s="88" t="s">
        <v>256</v>
      </c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83"/>
      <c r="AB30" s="84"/>
      <c r="AC30" s="95" t="s">
        <v>318</v>
      </c>
      <c r="AD30" s="95" t="s">
        <v>316</v>
      </c>
      <c r="AE30" s="116" t="s">
        <v>313</v>
      </c>
      <c r="AF30" s="84"/>
      <c r="AG30" s="83"/>
    </row>
    <row r="31" spans="1:33" ht="15" customHeight="1" x14ac:dyDescent="0.25">
      <c r="A31" s="84"/>
      <c r="B31" s="88"/>
      <c r="C31" s="88" t="s">
        <v>257</v>
      </c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89"/>
      <c r="AB31" s="84"/>
      <c r="AC31" s="95" t="s">
        <v>319</v>
      </c>
      <c r="AD31" s="95" t="s">
        <v>317</v>
      </c>
      <c r="AE31" s="116" t="s">
        <v>313</v>
      </c>
      <c r="AF31" s="84"/>
      <c r="AG31" s="89"/>
    </row>
    <row r="32" spans="1:33" ht="15" customHeight="1" x14ac:dyDescent="0.25">
      <c r="A32" s="84"/>
      <c r="B32" s="91"/>
      <c r="C32" s="88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89"/>
      <c r="AB32" s="87"/>
      <c r="AC32" s="95" t="s">
        <v>320</v>
      </c>
      <c r="AD32" s="95" t="s">
        <v>314</v>
      </c>
      <c r="AE32" s="116" t="s">
        <v>315</v>
      </c>
      <c r="AF32" s="87"/>
      <c r="AG32" s="89"/>
    </row>
    <row r="33" spans="1:33" ht="15" customHeight="1" x14ac:dyDescent="0.25">
      <c r="A33" s="84"/>
      <c r="B33" s="91" t="s">
        <v>263</v>
      </c>
      <c r="C33" s="88"/>
      <c r="D33" s="84"/>
      <c r="E33" s="84"/>
      <c r="F33" s="84"/>
      <c r="G33" s="84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89"/>
      <c r="AB33" s="87"/>
      <c r="AC33" s="84"/>
      <c r="AD33" s="84"/>
      <c r="AE33" s="84"/>
      <c r="AF33" s="87"/>
      <c r="AG33" s="89"/>
    </row>
    <row r="34" spans="1:33" ht="15" customHeight="1" x14ac:dyDescent="0.25">
      <c r="A34" s="84"/>
      <c r="B34" s="88"/>
      <c r="C34" s="88" t="s">
        <v>264</v>
      </c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89"/>
      <c r="AB34" s="87"/>
      <c r="AC34" s="213" t="s">
        <v>281</v>
      </c>
      <c r="AD34" s="79"/>
      <c r="AE34" s="79"/>
      <c r="AF34" s="87"/>
      <c r="AG34" s="89"/>
    </row>
    <row r="35" spans="1:33" ht="41.4" x14ac:dyDescent="0.25">
      <c r="A35" s="84"/>
      <c r="B35" s="88"/>
      <c r="C35" s="88" t="s">
        <v>268</v>
      </c>
      <c r="D35" s="90"/>
      <c r="E35" s="90"/>
      <c r="F35" s="90"/>
      <c r="G35" s="90"/>
      <c r="H35" s="90"/>
      <c r="I35" s="84"/>
      <c r="J35" s="84"/>
      <c r="K35" s="84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83"/>
      <c r="AB35" s="87"/>
      <c r="AC35" s="94" t="s">
        <v>114</v>
      </c>
      <c r="AD35" s="94" t="s">
        <v>113</v>
      </c>
      <c r="AE35" s="116" t="s">
        <v>341</v>
      </c>
      <c r="AF35" s="87"/>
      <c r="AG35" s="83"/>
    </row>
    <row r="36" spans="1:33" ht="41.4" x14ac:dyDescent="0.25">
      <c r="A36" s="84"/>
      <c r="B36" s="88"/>
      <c r="C36" s="88" t="s">
        <v>269</v>
      </c>
      <c r="D36" s="90"/>
      <c r="E36" s="90"/>
      <c r="F36" s="90"/>
      <c r="G36" s="90"/>
      <c r="H36" s="90"/>
      <c r="I36" s="84"/>
      <c r="J36" s="84"/>
      <c r="K36" s="84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3"/>
      <c r="AB36" s="84"/>
      <c r="AC36" s="95" t="s">
        <v>115</v>
      </c>
      <c r="AD36" s="95" t="s">
        <v>294</v>
      </c>
      <c r="AE36" s="116" t="s">
        <v>346</v>
      </c>
      <c r="AF36" s="84"/>
      <c r="AG36" s="83"/>
    </row>
    <row r="37" spans="1:33" ht="41.4" x14ac:dyDescent="0.25">
      <c r="A37" s="84"/>
      <c r="B37" s="88"/>
      <c r="C37" s="88" t="s">
        <v>270</v>
      </c>
      <c r="D37" s="90"/>
      <c r="E37" s="90"/>
      <c r="F37" s="90"/>
      <c r="G37" s="90"/>
      <c r="H37" s="90"/>
      <c r="I37" s="84"/>
      <c r="J37" s="84"/>
      <c r="K37" s="84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3"/>
      <c r="AB37" s="84"/>
      <c r="AC37" s="95" t="s">
        <v>144</v>
      </c>
      <c r="AD37" s="95" t="s">
        <v>3</v>
      </c>
      <c r="AE37" s="116" t="s">
        <v>347</v>
      </c>
      <c r="AF37" s="84"/>
      <c r="AG37" s="83"/>
    </row>
    <row r="38" spans="1:33" ht="15" customHeight="1" x14ac:dyDescent="0.25">
      <c r="A38" s="84"/>
      <c r="B38" s="84"/>
      <c r="C38" s="84"/>
      <c r="D38" s="90"/>
      <c r="E38" s="90"/>
      <c r="F38" s="90"/>
      <c r="G38" s="90"/>
      <c r="H38" s="90"/>
      <c r="I38" s="84"/>
      <c r="J38" s="84"/>
      <c r="K38" s="84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3"/>
      <c r="AB38" s="84"/>
      <c r="AC38" s="95" t="s">
        <v>335</v>
      </c>
      <c r="AD38" s="95" t="s">
        <v>194</v>
      </c>
      <c r="AE38" s="116" t="s">
        <v>336</v>
      </c>
      <c r="AF38" s="84"/>
      <c r="AG38" s="83"/>
    </row>
    <row r="39" spans="1:33" ht="41.4" x14ac:dyDescent="0.25">
      <c r="A39" s="84"/>
      <c r="B39" s="91" t="s">
        <v>265</v>
      </c>
      <c r="C39" s="88"/>
      <c r="D39" s="90"/>
      <c r="E39" s="90"/>
      <c r="F39" s="90"/>
      <c r="G39" s="90"/>
      <c r="H39" s="90"/>
      <c r="I39" s="84"/>
      <c r="J39" s="84"/>
      <c r="K39" s="84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3"/>
      <c r="AB39" s="84"/>
      <c r="AC39" s="95" t="s">
        <v>141</v>
      </c>
      <c r="AD39" s="95" t="s">
        <v>7</v>
      </c>
      <c r="AE39" s="116" t="s">
        <v>348</v>
      </c>
      <c r="AF39" s="84"/>
      <c r="AG39" s="83"/>
    </row>
    <row r="40" spans="1:33" ht="41.4" x14ac:dyDescent="0.25">
      <c r="A40" s="84"/>
      <c r="B40" s="88"/>
      <c r="C40" s="88" t="s">
        <v>266</v>
      </c>
      <c r="D40" s="90"/>
      <c r="E40" s="90"/>
      <c r="F40" s="90"/>
      <c r="G40" s="90"/>
      <c r="H40" s="90"/>
      <c r="I40" s="90"/>
      <c r="J40" s="90"/>
      <c r="K40" s="84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83"/>
      <c r="AB40" s="84"/>
      <c r="AC40" s="95" t="s">
        <v>117</v>
      </c>
      <c r="AD40" s="95" t="s">
        <v>41</v>
      </c>
      <c r="AE40" s="116" t="s">
        <v>342</v>
      </c>
      <c r="AF40" s="84"/>
      <c r="AG40" s="83"/>
    </row>
    <row r="41" spans="1:33" ht="15" customHeight="1" x14ac:dyDescent="0.25">
      <c r="A41" s="84"/>
      <c r="B41" s="88"/>
      <c r="C41" s="88" t="s">
        <v>267</v>
      </c>
      <c r="D41" s="88"/>
      <c r="E41" s="88"/>
      <c r="F41" s="88"/>
      <c r="G41" s="88"/>
      <c r="H41" s="88"/>
      <c r="I41" s="88"/>
      <c r="J41" s="88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83"/>
      <c r="AB41" s="84"/>
      <c r="AC41" s="95" t="s">
        <v>123</v>
      </c>
      <c r="AD41" s="95" t="s">
        <v>42</v>
      </c>
      <c r="AE41" s="116" t="s">
        <v>343</v>
      </c>
      <c r="AF41" s="84"/>
      <c r="AG41" s="83"/>
    </row>
    <row r="42" spans="1:33" ht="41.4" x14ac:dyDescent="0.25">
      <c r="A42" s="87"/>
      <c r="B42" s="88"/>
      <c r="C42" s="88" t="s">
        <v>271</v>
      </c>
      <c r="D42" s="88"/>
      <c r="E42" s="88"/>
      <c r="F42" s="88"/>
      <c r="G42" s="88"/>
      <c r="H42" s="88"/>
      <c r="I42" s="88"/>
      <c r="J42" s="88"/>
      <c r="K42" s="88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83"/>
      <c r="AB42" s="84"/>
      <c r="AC42" s="95" t="s">
        <v>344</v>
      </c>
      <c r="AD42" s="95" t="s">
        <v>195</v>
      </c>
      <c r="AE42" s="116" t="s">
        <v>374</v>
      </c>
      <c r="AF42" s="84"/>
      <c r="AG42" s="83"/>
    </row>
    <row r="43" spans="1:33" ht="41.4" x14ac:dyDescent="0.25">
      <c r="A43" s="87"/>
      <c r="B43" s="88"/>
      <c r="C43" s="88" t="s">
        <v>272</v>
      </c>
      <c r="D43" s="88"/>
      <c r="E43" s="88"/>
      <c r="F43" s="88"/>
      <c r="G43" s="88"/>
      <c r="H43" s="88"/>
      <c r="I43" s="88"/>
      <c r="J43" s="88"/>
      <c r="K43" s="88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83"/>
      <c r="AB43" s="84"/>
      <c r="AC43" s="95" t="s">
        <v>345</v>
      </c>
      <c r="AD43" s="95" t="s">
        <v>12</v>
      </c>
      <c r="AE43" s="116" t="s">
        <v>333</v>
      </c>
      <c r="AF43" s="84"/>
      <c r="AG43" s="83"/>
    </row>
    <row r="44" spans="1:33" ht="13.8" x14ac:dyDescent="0.25">
      <c r="A44" s="84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83"/>
      <c r="AB44" s="84"/>
      <c r="AC44" s="95" t="s">
        <v>142</v>
      </c>
      <c r="AD44" s="95" t="s">
        <v>5</v>
      </c>
      <c r="AE44" s="116" t="s">
        <v>331</v>
      </c>
      <c r="AF44" s="84"/>
      <c r="AG44" s="83"/>
    </row>
    <row r="45" spans="1:33" ht="55.2" x14ac:dyDescent="0.25">
      <c r="A45" s="84"/>
      <c r="B45" s="91" t="s">
        <v>273</v>
      </c>
      <c r="C45" s="88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83"/>
      <c r="AB45" s="84"/>
      <c r="AC45" s="95" t="s">
        <v>143</v>
      </c>
      <c r="AD45" s="95" t="s">
        <v>6</v>
      </c>
      <c r="AE45" s="116" t="s">
        <v>337</v>
      </c>
      <c r="AF45" s="84"/>
      <c r="AG45" s="83"/>
    </row>
    <row r="46" spans="1:33" ht="27.6" x14ac:dyDescent="0.25">
      <c r="A46" s="84"/>
      <c r="B46" s="87"/>
      <c r="C46" s="87"/>
      <c r="D46" s="92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83"/>
      <c r="AB46" s="84"/>
      <c r="AC46" s="95" t="s">
        <v>322</v>
      </c>
      <c r="AD46" s="95" t="s">
        <v>9</v>
      </c>
      <c r="AE46" s="116" t="s">
        <v>338</v>
      </c>
      <c r="AF46" s="84"/>
      <c r="AG46" s="83"/>
    </row>
    <row r="47" spans="1:33" ht="15" customHeight="1" x14ac:dyDescent="0.25">
      <c r="A47" s="84"/>
      <c r="B47" s="91" t="s">
        <v>103</v>
      </c>
      <c r="C47" s="88"/>
      <c r="D47" s="88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83"/>
      <c r="AB47" s="84"/>
      <c r="AC47" s="95" t="s">
        <v>323</v>
      </c>
      <c r="AD47" s="95" t="s">
        <v>145</v>
      </c>
      <c r="AE47" s="116" t="s">
        <v>334</v>
      </c>
      <c r="AF47" s="84"/>
      <c r="AG47" s="83"/>
    </row>
    <row r="48" spans="1:33" ht="15" customHeight="1" x14ac:dyDescent="0.25">
      <c r="A48" s="84"/>
      <c r="B48" s="91"/>
      <c r="C48" s="88" t="s">
        <v>274</v>
      </c>
      <c r="D48" s="88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83"/>
      <c r="AB48" s="84"/>
      <c r="AC48" s="90"/>
      <c r="AD48" s="90"/>
      <c r="AE48" s="90"/>
      <c r="AF48" s="84"/>
      <c r="AG48" s="83"/>
    </row>
    <row r="49" spans="1:33" ht="15" customHeight="1" x14ac:dyDescent="0.25">
      <c r="A49" s="90"/>
      <c r="B49" s="91"/>
      <c r="C49" s="88" t="s">
        <v>275</v>
      </c>
      <c r="D49" s="88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83"/>
      <c r="AB49" s="84"/>
      <c r="AC49" s="213" t="s">
        <v>282</v>
      </c>
      <c r="AD49" s="79"/>
      <c r="AE49" s="79"/>
      <c r="AF49" s="84"/>
      <c r="AG49" s="83"/>
    </row>
    <row r="50" spans="1:33" ht="15" customHeight="1" x14ac:dyDescent="0.25">
      <c r="A50" s="90"/>
      <c r="B50" s="91"/>
      <c r="C50" s="88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83"/>
      <c r="AB50" s="84"/>
      <c r="AC50" s="94" t="s">
        <v>114</v>
      </c>
      <c r="AD50" s="218" t="s">
        <v>113</v>
      </c>
      <c r="AE50" s="116" t="s">
        <v>295</v>
      </c>
      <c r="AF50" s="84"/>
      <c r="AG50" s="83"/>
    </row>
    <row r="51" spans="1:33" ht="15" customHeight="1" x14ac:dyDescent="0.25">
      <c r="A51" s="90"/>
      <c r="B51" s="92" t="s">
        <v>276</v>
      </c>
      <c r="C51" s="92"/>
      <c r="D51" s="84"/>
      <c r="E51" s="84"/>
      <c r="F51" s="90"/>
      <c r="G51" s="90"/>
      <c r="H51" s="90"/>
      <c r="I51" s="90"/>
      <c r="J51" s="90"/>
      <c r="K51" s="90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3"/>
      <c r="AB51" s="84"/>
      <c r="AC51" s="94" t="s">
        <v>115</v>
      </c>
      <c r="AD51" s="94" t="s">
        <v>294</v>
      </c>
      <c r="AE51" s="116" t="s">
        <v>293</v>
      </c>
      <c r="AF51" s="84"/>
      <c r="AG51" s="83"/>
    </row>
    <row r="52" spans="1:33" ht="15" customHeight="1" x14ac:dyDescent="0.25">
      <c r="A52" s="84"/>
      <c r="B52" s="88"/>
      <c r="C52" s="88" t="s">
        <v>277</v>
      </c>
      <c r="D52" s="84"/>
      <c r="E52" s="88"/>
      <c r="F52" s="88"/>
      <c r="G52" s="88"/>
      <c r="H52" s="88"/>
      <c r="I52" s="88"/>
      <c r="J52" s="90"/>
      <c r="K52" s="90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3"/>
      <c r="AB52" s="84"/>
      <c r="AC52" s="94" t="s">
        <v>144</v>
      </c>
      <c r="AD52" s="94" t="s">
        <v>3</v>
      </c>
      <c r="AE52" s="116" t="s">
        <v>290</v>
      </c>
      <c r="AF52" s="84"/>
      <c r="AG52" s="83"/>
    </row>
    <row r="53" spans="1:33" ht="15" customHeight="1" x14ac:dyDescent="0.25">
      <c r="A53" s="84"/>
      <c r="B53" s="88"/>
      <c r="C53" s="88" t="s">
        <v>56</v>
      </c>
      <c r="D53" s="84"/>
      <c r="E53" s="88"/>
      <c r="F53" s="88"/>
      <c r="G53" s="88"/>
      <c r="H53" s="88"/>
      <c r="I53" s="88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3"/>
      <c r="AB53" s="84"/>
      <c r="AC53" s="94" t="s">
        <v>325</v>
      </c>
      <c r="AD53" s="94" t="s">
        <v>146</v>
      </c>
      <c r="AE53" s="116" t="s">
        <v>311</v>
      </c>
      <c r="AF53" s="84"/>
      <c r="AG53" s="83"/>
    </row>
    <row r="54" spans="1:33" ht="15" customHeight="1" x14ac:dyDescent="0.25">
      <c r="A54" s="84"/>
      <c r="B54" s="88"/>
      <c r="C54" s="88" t="s">
        <v>284</v>
      </c>
      <c r="D54" s="84"/>
      <c r="E54" s="88"/>
      <c r="F54" s="90"/>
      <c r="G54" s="90"/>
      <c r="H54" s="90"/>
      <c r="I54" s="90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3"/>
      <c r="AB54" s="84"/>
      <c r="AC54" s="94" t="s">
        <v>326</v>
      </c>
      <c r="AD54" s="94" t="s">
        <v>147</v>
      </c>
      <c r="AE54" s="116" t="s">
        <v>312</v>
      </c>
      <c r="AF54" s="84"/>
      <c r="AG54" s="83"/>
    </row>
    <row r="55" spans="1:33" ht="15" customHeight="1" x14ac:dyDescent="0.25">
      <c r="A55" s="84"/>
      <c r="B55" s="90"/>
      <c r="C55" s="90"/>
      <c r="D55" s="84"/>
      <c r="E55" s="88"/>
      <c r="F55" s="90"/>
      <c r="G55" s="90"/>
      <c r="H55" s="90"/>
      <c r="I55" s="90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3"/>
      <c r="AB55" s="84"/>
      <c r="AC55" s="94" t="s">
        <v>324</v>
      </c>
      <c r="AD55" s="94" t="s">
        <v>13</v>
      </c>
      <c r="AE55" s="116" t="s">
        <v>310</v>
      </c>
      <c r="AF55" s="84"/>
      <c r="AG55" s="83"/>
    </row>
    <row r="56" spans="1:33" ht="15" customHeight="1" x14ac:dyDescent="0.25">
      <c r="A56" s="84"/>
      <c r="B56" s="91" t="s">
        <v>289</v>
      </c>
      <c r="C56" s="84"/>
      <c r="D56" s="84"/>
      <c r="E56" s="88"/>
      <c r="F56" s="90"/>
      <c r="G56" s="90"/>
      <c r="H56" s="90"/>
      <c r="I56" s="90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3"/>
      <c r="AB56" s="84"/>
      <c r="AC56" s="94" t="s">
        <v>116</v>
      </c>
      <c r="AD56" s="94" t="s">
        <v>39</v>
      </c>
      <c r="AE56" s="116" t="s">
        <v>291</v>
      </c>
      <c r="AF56" s="84"/>
      <c r="AG56" s="83"/>
    </row>
    <row r="57" spans="1:33" ht="15" customHeight="1" x14ac:dyDescent="0.25">
      <c r="A57" s="84"/>
      <c r="B57" s="96" t="s">
        <v>62</v>
      </c>
      <c r="C57" s="88"/>
      <c r="D57" s="88" t="s">
        <v>63</v>
      </c>
      <c r="E57" s="88"/>
      <c r="F57" s="90"/>
      <c r="G57" s="90"/>
      <c r="H57" s="90"/>
      <c r="I57" s="90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3"/>
      <c r="AB57" s="84"/>
      <c r="AC57" s="94" t="s">
        <v>118</v>
      </c>
      <c r="AD57" s="94" t="s">
        <v>40</v>
      </c>
      <c r="AE57" s="116" t="s">
        <v>292</v>
      </c>
      <c r="AF57" s="84"/>
      <c r="AG57" s="83"/>
    </row>
    <row r="58" spans="1:33" ht="15" customHeight="1" x14ac:dyDescent="0.25">
      <c r="A58" s="84"/>
      <c r="B58" s="96" t="s">
        <v>64</v>
      </c>
      <c r="C58" s="88"/>
      <c r="D58" s="88" t="s">
        <v>65</v>
      </c>
      <c r="E58" s="88"/>
      <c r="F58" s="90"/>
      <c r="G58" s="90"/>
      <c r="H58" s="90"/>
      <c r="I58" s="90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3"/>
      <c r="AB58" s="84"/>
      <c r="AC58" s="94" t="s">
        <v>125</v>
      </c>
      <c r="AD58" s="94" t="s">
        <v>126</v>
      </c>
      <c r="AE58" s="116" t="s">
        <v>296</v>
      </c>
      <c r="AF58" s="84"/>
      <c r="AG58" s="83"/>
    </row>
    <row r="59" spans="1:33" ht="15" customHeight="1" x14ac:dyDescent="0.25">
      <c r="A59" s="84"/>
      <c r="B59" s="96" t="s">
        <v>66</v>
      </c>
      <c r="C59" s="88"/>
      <c r="D59" s="88" t="s">
        <v>67</v>
      </c>
      <c r="E59" s="88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3"/>
      <c r="AB59" s="84"/>
      <c r="AC59" s="94" t="s">
        <v>138</v>
      </c>
      <c r="AD59" s="94" t="s">
        <v>135</v>
      </c>
      <c r="AE59" s="116" t="s">
        <v>297</v>
      </c>
      <c r="AF59" s="84"/>
      <c r="AG59" s="83"/>
    </row>
    <row r="60" spans="1:33" ht="15" customHeight="1" x14ac:dyDescent="0.25">
      <c r="A60" s="84"/>
      <c r="B60" s="96" t="s">
        <v>68</v>
      </c>
      <c r="C60" s="88"/>
      <c r="D60" s="88" t="s">
        <v>69</v>
      </c>
      <c r="E60" s="88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3"/>
      <c r="AB60" s="84"/>
      <c r="AC60" s="94" t="s">
        <v>117</v>
      </c>
      <c r="AD60" s="94" t="s">
        <v>41</v>
      </c>
      <c r="AE60" s="116" t="s">
        <v>298</v>
      </c>
      <c r="AF60" s="84"/>
      <c r="AG60" s="83"/>
    </row>
    <row r="61" spans="1:33" ht="15" customHeight="1" x14ac:dyDescent="0.25">
      <c r="A61" s="84"/>
      <c r="B61" s="96" t="s">
        <v>70</v>
      </c>
      <c r="C61" s="88"/>
      <c r="D61" s="88" t="s">
        <v>91</v>
      </c>
      <c r="E61" s="88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3"/>
      <c r="AB61" s="84"/>
      <c r="AC61" s="94" t="s">
        <v>123</v>
      </c>
      <c r="AD61" s="94" t="s">
        <v>42</v>
      </c>
      <c r="AE61" s="116" t="s">
        <v>302</v>
      </c>
      <c r="AF61" s="84"/>
      <c r="AG61" s="83"/>
    </row>
    <row r="62" spans="1:33" ht="15" customHeight="1" x14ac:dyDescent="0.25">
      <c r="A62" s="84"/>
      <c r="B62" s="96" t="s">
        <v>71</v>
      </c>
      <c r="C62" s="88"/>
      <c r="D62" s="88" t="s">
        <v>72</v>
      </c>
      <c r="E62" s="88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3"/>
      <c r="AB62" s="84"/>
      <c r="AC62" s="94" t="s">
        <v>129</v>
      </c>
      <c r="AD62" s="94" t="s">
        <v>130</v>
      </c>
      <c r="AE62" s="116" t="s">
        <v>299</v>
      </c>
      <c r="AF62" s="84"/>
      <c r="AG62" s="83"/>
    </row>
    <row r="63" spans="1:33" ht="15" customHeight="1" x14ac:dyDescent="0.25">
      <c r="A63" s="84"/>
      <c r="B63" s="96" t="s">
        <v>73</v>
      </c>
      <c r="C63" s="88"/>
      <c r="D63" s="88" t="s">
        <v>74</v>
      </c>
      <c r="E63" s="88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3"/>
      <c r="AB63" s="84"/>
      <c r="AC63" s="94" t="s">
        <v>136</v>
      </c>
      <c r="AD63" s="94" t="s">
        <v>137</v>
      </c>
      <c r="AE63" s="116" t="s">
        <v>300</v>
      </c>
      <c r="AF63" s="84"/>
      <c r="AG63" s="83"/>
    </row>
    <row r="64" spans="1:33" ht="15" customHeight="1" x14ac:dyDescent="0.25">
      <c r="A64" s="84"/>
      <c r="B64" s="96" t="s">
        <v>85</v>
      </c>
      <c r="C64" s="88"/>
      <c r="D64" s="88" t="s">
        <v>86</v>
      </c>
      <c r="E64" s="88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3"/>
      <c r="AB64" s="84"/>
      <c r="AC64" s="94" t="s">
        <v>131</v>
      </c>
      <c r="AD64" s="94" t="s">
        <v>134</v>
      </c>
      <c r="AE64" s="116" t="s">
        <v>301</v>
      </c>
      <c r="AF64" s="84"/>
      <c r="AG64" s="83"/>
    </row>
    <row r="65" spans="1:33" ht="15" customHeight="1" x14ac:dyDescent="0.25">
      <c r="A65" s="84"/>
      <c r="B65" s="96" t="s">
        <v>75</v>
      </c>
      <c r="C65" s="88"/>
      <c r="D65" s="88" t="s">
        <v>78</v>
      </c>
      <c r="E65" s="88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3"/>
      <c r="AB65" s="84"/>
      <c r="AC65" s="94" t="s">
        <v>303</v>
      </c>
      <c r="AD65" s="94" t="s">
        <v>212</v>
      </c>
      <c r="AE65" s="116" t="s">
        <v>304</v>
      </c>
      <c r="AF65" s="84"/>
      <c r="AG65" s="83"/>
    </row>
    <row r="66" spans="1:33" ht="15" customHeight="1" x14ac:dyDescent="0.25">
      <c r="A66" s="84"/>
      <c r="B66" s="215" t="s">
        <v>285</v>
      </c>
      <c r="C66" s="216"/>
      <c r="D66" s="216" t="s">
        <v>286</v>
      </c>
      <c r="E66" s="88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3"/>
      <c r="AB66" s="84"/>
      <c r="AC66" s="94" t="s">
        <v>142</v>
      </c>
      <c r="AD66" s="94" t="s">
        <v>5</v>
      </c>
      <c r="AE66" s="116" t="s">
        <v>306</v>
      </c>
      <c r="AF66" s="84"/>
      <c r="AG66" s="83"/>
    </row>
    <row r="67" spans="1:33" ht="15" customHeight="1" x14ac:dyDescent="0.25">
      <c r="A67" s="84"/>
      <c r="B67" s="96" t="s">
        <v>76</v>
      </c>
      <c r="C67" s="88"/>
      <c r="D67" s="88" t="s">
        <v>77</v>
      </c>
      <c r="E67" s="88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3"/>
      <c r="AB67" s="84"/>
      <c r="AC67" s="94" t="s">
        <v>143</v>
      </c>
      <c r="AD67" s="94" t="s">
        <v>6</v>
      </c>
      <c r="AE67" s="116" t="s">
        <v>305</v>
      </c>
      <c r="AF67" s="84"/>
      <c r="AG67" s="83"/>
    </row>
    <row r="68" spans="1:33" ht="15" customHeight="1" x14ac:dyDescent="0.25">
      <c r="A68" s="84"/>
      <c r="B68" s="96" t="s">
        <v>79</v>
      </c>
      <c r="C68" s="88"/>
      <c r="D68" s="88" t="s">
        <v>82</v>
      </c>
      <c r="E68" s="88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3"/>
      <c r="AB68" s="84"/>
      <c r="AC68" s="94" t="s">
        <v>141</v>
      </c>
      <c r="AD68" s="94" t="s">
        <v>7</v>
      </c>
      <c r="AE68" s="116" t="s">
        <v>92</v>
      </c>
      <c r="AF68" s="84"/>
      <c r="AG68" s="83"/>
    </row>
    <row r="69" spans="1:33" ht="15" customHeight="1" x14ac:dyDescent="0.25">
      <c r="A69" s="84"/>
      <c r="B69" s="96" t="s">
        <v>80</v>
      </c>
      <c r="C69" s="88"/>
      <c r="D69" s="88" t="s">
        <v>83</v>
      </c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3"/>
      <c r="AB69" s="84"/>
      <c r="AC69" s="94" t="s">
        <v>321</v>
      </c>
      <c r="AD69" s="94" t="s">
        <v>10</v>
      </c>
      <c r="AE69" s="116" t="s">
        <v>307</v>
      </c>
      <c r="AF69" s="84"/>
      <c r="AG69" s="83"/>
    </row>
    <row r="70" spans="1:33" ht="15" customHeight="1" x14ac:dyDescent="0.25">
      <c r="A70" s="84"/>
      <c r="B70" s="96" t="s">
        <v>81</v>
      </c>
      <c r="C70" s="88"/>
      <c r="D70" s="88" t="s">
        <v>84</v>
      </c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3"/>
      <c r="AB70" s="84"/>
      <c r="AC70" s="94" t="s">
        <v>322</v>
      </c>
      <c r="AD70" s="94" t="s">
        <v>9</v>
      </c>
      <c r="AE70" s="116" t="s">
        <v>308</v>
      </c>
      <c r="AF70" s="84"/>
      <c r="AG70" s="83"/>
    </row>
    <row r="71" spans="1:33" ht="15" customHeight="1" x14ac:dyDescent="0.25">
      <c r="A71" s="84"/>
      <c r="B71" s="96" t="s">
        <v>87</v>
      </c>
      <c r="C71" s="88"/>
      <c r="D71" s="88" t="s">
        <v>90</v>
      </c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3"/>
      <c r="AB71" s="84"/>
      <c r="AC71" s="94" t="s">
        <v>323</v>
      </c>
      <c r="AD71" s="219" t="s">
        <v>145</v>
      </c>
      <c r="AE71" s="116" t="s">
        <v>309</v>
      </c>
      <c r="AF71" s="84"/>
      <c r="AG71" s="83"/>
    </row>
    <row r="72" spans="1:33" ht="15" customHeight="1" x14ac:dyDescent="0.25">
      <c r="A72" s="84"/>
      <c r="B72" s="96" t="s">
        <v>88</v>
      </c>
      <c r="C72" s="88"/>
      <c r="D72" s="88" t="s">
        <v>89</v>
      </c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3"/>
      <c r="AB72" s="84"/>
      <c r="AC72" s="84"/>
      <c r="AD72" s="84"/>
      <c r="AE72" s="84"/>
      <c r="AF72" s="84"/>
      <c r="AG72" s="83"/>
    </row>
    <row r="73" spans="1:33" ht="15" customHeight="1" x14ac:dyDescent="0.25">
      <c r="A73" s="84"/>
      <c r="B73" s="96" t="s">
        <v>287</v>
      </c>
      <c r="C73" s="88"/>
      <c r="D73" s="88" t="s">
        <v>288</v>
      </c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3"/>
      <c r="AB73" s="84"/>
      <c r="AC73" s="84"/>
      <c r="AD73" s="84"/>
      <c r="AE73" s="84"/>
      <c r="AF73" s="84"/>
      <c r="AG73" s="83"/>
    </row>
    <row r="74" spans="1:33" ht="15" customHeight="1" x14ac:dyDescent="0.25">
      <c r="A74" s="84"/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3"/>
      <c r="AB74" s="84"/>
      <c r="AC74" s="84"/>
      <c r="AD74" s="84"/>
      <c r="AE74" s="84"/>
      <c r="AF74" s="84"/>
      <c r="AG74" s="83"/>
    </row>
    <row r="75" spans="1:33" ht="15" customHeight="1" x14ac:dyDescent="0.25">
      <c r="A75" s="83"/>
      <c r="B75" s="83"/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3"/>
      <c r="AG75" s="83"/>
    </row>
  </sheetData>
  <sheetProtection algorithmName="SHA-512" hashValue="H5d6SQzUZHF4xOAR/Wlz+yq8XmAfoUSBhnRS3vq4xz9cbBlIp+P7dL9uxnloqb1suwS7pjtE06FiNrK6NhCpRQ==" saltValue="pnWuVa/rwaFxtfJ4KurDtA==" spinCount="100000" sheet="1" objects="1" scenarios="1"/>
  <mergeCells count="2">
    <mergeCell ref="B2:Y2"/>
    <mergeCell ref="AC2:AE2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AH111"/>
  <sheetViews>
    <sheetView showGridLines="0" tabSelected="1" topLeftCell="C1" zoomScaleNormal="100" workbookViewId="0">
      <pane ySplit="5" topLeftCell="A19" activePane="bottomLeft" state="frozen"/>
      <selection pane="bottomLeft" activeCell="I19" sqref="I19"/>
    </sheetView>
  </sheetViews>
  <sheetFormatPr defaultColWidth="9.33203125" defaultRowHeight="13.2" x14ac:dyDescent="0.25"/>
  <cols>
    <col min="1" max="1" width="0.6640625" style="162" customWidth="1"/>
    <col min="2" max="2" width="13.5546875" style="170" customWidth="1"/>
    <col min="3" max="3" width="20.6640625" style="170" bestFit="1" customWidth="1"/>
    <col min="4" max="4" width="0.6640625" style="170" customWidth="1"/>
    <col min="5" max="5" width="18.6640625" style="170" bestFit="1" customWidth="1"/>
    <col min="6" max="6" width="12.6640625" style="170" customWidth="1"/>
    <col min="7" max="7" width="0.6640625" style="162" customWidth="1"/>
    <col min="8" max="8" width="21.5546875" style="162" bestFit="1" customWidth="1"/>
    <col min="9" max="9" width="27.5546875" style="162" customWidth="1"/>
    <col min="10" max="10" width="0.6640625" style="162" customWidth="1"/>
    <col min="11" max="11" width="15" style="162" bestFit="1" customWidth="1"/>
    <col min="12" max="12" width="12.6640625" style="162" customWidth="1"/>
    <col min="13" max="13" width="0.6640625" style="162" customWidth="1"/>
    <col min="14" max="14" width="15" style="162" bestFit="1" customWidth="1"/>
    <col min="15" max="15" width="12.6640625" style="162" customWidth="1"/>
    <col min="16" max="16" width="0.6640625" style="162" customWidth="1"/>
    <col min="17" max="17" width="24.109375" style="162" bestFit="1" customWidth="1"/>
    <col min="18" max="18" width="12.6640625" style="162" customWidth="1"/>
    <col min="19" max="19" width="0.5546875" style="162" customWidth="1"/>
    <col min="20" max="21" width="12.6640625" style="162" customWidth="1"/>
    <col min="22" max="22" width="0.5546875" style="162" customWidth="1"/>
    <col min="23" max="23" width="12.6640625" style="162" customWidth="1"/>
    <col min="24" max="24" width="0.5546875" style="162" customWidth="1"/>
    <col min="25" max="25" width="12.6640625" style="162" customWidth="1"/>
    <col min="26" max="26" width="13.5546875" style="162" bestFit="1" customWidth="1"/>
    <col min="27" max="28" width="12.5546875" style="162" bestFit="1" customWidth="1"/>
    <col min="29" max="29" width="9.33203125" style="162" bestFit="1" customWidth="1"/>
    <col min="30" max="16384" width="9.33203125" style="162"/>
  </cols>
  <sheetData>
    <row r="1" spans="1:28" s="27" customFormat="1" ht="15" customHeight="1" x14ac:dyDescent="0.25">
      <c r="A1" s="265" t="s">
        <v>104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7" t="s">
        <v>21</v>
      </c>
      <c r="Q1" s="267"/>
      <c r="R1" s="267"/>
      <c r="S1" s="267"/>
      <c r="T1" s="267"/>
      <c r="U1" s="267"/>
      <c r="V1" s="267"/>
      <c r="W1" s="267"/>
      <c r="X1" s="268"/>
      <c r="Y1" s="102"/>
      <c r="Z1" s="98"/>
      <c r="AA1" s="103"/>
    </row>
    <row r="2" spans="1:28" ht="3.75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04"/>
      <c r="Z2" s="99"/>
      <c r="AA2" s="105"/>
    </row>
    <row r="3" spans="1:28" s="15" customFormat="1" ht="13.5" customHeight="1" x14ac:dyDescent="0.25">
      <c r="B3" s="256" t="s">
        <v>36</v>
      </c>
      <c r="C3" s="256"/>
      <c r="D3" s="28"/>
      <c r="E3" s="29" t="s">
        <v>181</v>
      </c>
      <c r="F3" s="30" t="s">
        <v>330</v>
      </c>
      <c r="G3" s="31"/>
      <c r="H3" s="274" t="s">
        <v>329</v>
      </c>
      <c r="I3" s="275"/>
      <c r="K3" s="32" t="s">
        <v>57</v>
      </c>
      <c r="L3" s="32" t="s">
        <v>58</v>
      </c>
      <c r="N3" s="33" t="s">
        <v>105</v>
      </c>
      <c r="O3" s="33" t="s">
        <v>106</v>
      </c>
      <c r="Q3" s="32" t="s">
        <v>156</v>
      </c>
      <c r="T3" s="35" t="s">
        <v>51</v>
      </c>
      <c r="U3" s="11">
        <v>25</v>
      </c>
      <c r="Y3" s="106"/>
      <c r="Z3" s="100"/>
      <c r="AA3" s="107"/>
    </row>
    <row r="4" spans="1:28" s="15" customFormat="1" ht="13.5" customHeight="1" x14ac:dyDescent="0.25">
      <c r="B4" s="256" t="s">
        <v>20</v>
      </c>
      <c r="C4" s="256"/>
      <c r="D4" s="28"/>
      <c r="E4" s="36">
        <v>1.5</v>
      </c>
      <c r="F4" s="223">
        <v>1.65</v>
      </c>
      <c r="G4" s="28"/>
      <c r="H4" s="222" t="s">
        <v>327</v>
      </c>
      <c r="I4" s="221">
        <v>0.5</v>
      </c>
      <c r="K4" s="136">
        <v>400.00000999999997</v>
      </c>
      <c r="L4" s="136">
        <v>400.00009999999997</v>
      </c>
      <c r="N4" s="37">
        <v>150</v>
      </c>
      <c r="O4" s="37">
        <v>150</v>
      </c>
      <c r="Q4" s="136">
        <v>30.000001000000001</v>
      </c>
      <c r="T4" s="35" t="s">
        <v>52</v>
      </c>
      <c r="U4" s="234">
        <v>125</v>
      </c>
      <c r="Y4" s="106"/>
      <c r="Z4" s="100"/>
      <c r="AA4" s="107"/>
    </row>
    <row r="5" spans="1:28" ht="13.5" customHeight="1" x14ac:dyDescent="0.25">
      <c r="A5" s="14"/>
      <c r="B5" s="34"/>
      <c r="C5" s="34"/>
      <c r="D5" s="34"/>
      <c r="E5" s="34"/>
      <c r="F5" s="34"/>
      <c r="G5" s="34"/>
      <c r="H5" s="222" t="s">
        <v>328</v>
      </c>
      <c r="I5" s="221">
        <v>1</v>
      </c>
      <c r="J5" s="14"/>
      <c r="K5" s="34"/>
      <c r="L5" s="35"/>
      <c r="M5" s="15"/>
      <c r="N5" s="14"/>
      <c r="O5" s="14"/>
      <c r="P5" s="14"/>
      <c r="Q5" s="38"/>
      <c r="T5" s="35" t="s">
        <v>23</v>
      </c>
      <c r="U5" s="182">
        <v>150</v>
      </c>
      <c r="V5" s="39">
        <v>150</v>
      </c>
      <c r="W5" s="14"/>
      <c r="X5" s="14"/>
      <c r="Y5" s="104"/>
      <c r="Z5" s="99"/>
      <c r="AA5" s="105"/>
    </row>
    <row r="6" spans="1:28" s="40" customFormat="1" ht="13.5" customHeight="1" x14ac:dyDescent="0.25">
      <c r="B6" s="40" t="s">
        <v>49</v>
      </c>
      <c r="X6" s="16"/>
      <c r="Y6" s="108"/>
      <c r="Z6" s="101"/>
      <c r="AA6" s="109"/>
    </row>
    <row r="7" spans="1:28" s="40" customFormat="1" ht="5.25" customHeight="1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7"/>
      <c r="U7" s="17"/>
      <c r="V7" s="17"/>
      <c r="W7" s="17"/>
      <c r="X7" s="17"/>
      <c r="Y7" s="108"/>
      <c r="Z7" s="101"/>
      <c r="AA7" s="109"/>
    </row>
    <row r="8" spans="1:28" s="40" customFormat="1" ht="13.5" customHeight="1" x14ac:dyDescent="0.25">
      <c r="A8" s="19"/>
      <c r="E8" s="235" t="s">
        <v>367</v>
      </c>
      <c r="F8" s="156">
        <v>120</v>
      </c>
      <c r="I8" s="185" t="s">
        <v>184</v>
      </c>
      <c r="K8" s="183">
        <v>2.7</v>
      </c>
      <c r="L8" s="264" t="s">
        <v>205</v>
      </c>
      <c r="M8" s="264"/>
      <c r="N8" s="264"/>
      <c r="O8" s="264"/>
      <c r="P8" s="264"/>
      <c r="Q8" s="264"/>
      <c r="R8" s="46">
        <v>5</v>
      </c>
      <c r="S8" s="19"/>
      <c r="T8" s="16"/>
      <c r="U8" s="16"/>
      <c r="V8" s="16"/>
      <c r="W8" s="16"/>
      <c r="X8" s="16"/>
      <c r="Y8" s="108"/>
      <c r="Z8" s="101"/>
      <c r="AA8" s="109"/>
    </row>
    <row r="9" spans="1:28" s="40" customFormat="1" ht="13.5" customHeight="1" x14ac:dyDescent="0.25">
      <c r="A9" s="19"/>
      <c r="E9" s="48"/>
      <c r="F9" s="233"/>
      <c r="G9" s="48"/>
      <c r="H9" s="48"/>
      <c r="I9" s="208" t="s">
        <v>246</v>
      </c>
      <c r="K9" s="183">
        <v>0.5</v>
      </c>
      <c r="L9" s="48"/>
      <c r="M9" s="48"/>
      <c r="N9" s="48"/>
      <c r="O9" s="48"/>
      <c r="P9" s="48"/>
      <c r="Q9" s="48"/>
      <c r="R9" s="48"/>
      <c r="S9" s="19"/>
      <c r="T9" s="16"/>
      <c r="U9" s="16"/>
      <c r="V9" s="16"/>
      <c r="W9" s="16"/>
      <c r="X9" s="16"/>
      <c r="Y9" s="108"/>
      <c r="Z9" s="101"/>
      <c r="AA9" s="109"/>
    </row>
    <row r="10" spans="1:28" ht="3.75" customHeight="1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20"/>
      <c r="Y10" s="99"/>
      <c r="Z10" s="99"/>
      <c r="AA10" s="105"/>
    </row>
    <row r="11" spans="1:28" s="27" customFormat="1" ht="40.5" customHeight="1" x14ac:dyDescent="0.25">
      <c r="A11" s="41"/>
      <c r="B11" s="257" t="s">
        <v>226</v>
      </c>
      <c r="C11" s="257"/>
      <c r="D11" s="257"/>
      <c r="E11" s="257"/>
      <c r="F11" s="257"/>
      <c r="G11" s="257"/>
      <c r="H11" s="257"/>
      <c r="I11" s="257"/>
      <c r="J11" s="21"/>
      <c r="K11" s="258" t="s">
        <v>227</v>
      </c>
      <c r="L11" s="259"/>
      <c r="M11" s="259"/>
      <c r="N11" s="259"/>
      <c r="O11" s="259"/>
      <c r="P11" s="259"/>
      <c r="Q11" s="259"/>
      <c r="R11" s="259"/>
      <c r="S11" s="21"/>
      <c r="T11" s="269" t="s">
        <v>109</v>
      </c>
      <c r="U11" s="269"/>
      <c r="V11" s="269"/>
      <c r="W11" s="269"/>
      <c r="X11" s="23"/>
      <c r="Y11" s="98"/>
      <c r="Z11" s="119"/>
      <c r="AA11" s="121"/>
      <c r="AB11" s="122"/>
    </row>
    <row r="12" spans="1:28" ht="3.7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21"/>
      <c r="K12" s="19"/>
      <c r="L12" s="19"/>
      <c r="M12" s="20"/>
      <c r="N12" s="19"/>
      <c r="O12" s="19"/>
      <c r="P12" s="20"/>
      <c r="Q12" s="19"/>
      <c r="R12" s="19"/>
      <c r="S12" s="20"/>
      <c r="T12" s="20"/>
      <c r="U12" s="20"/>
      <c r="V12" s="20"/>
      <c r="W12" s="20"/>
      <c r="X12" s="20"/>
      <c r="Y12" s="99"/>
      <c r="Z12" s="120"/>
      <c r="AA12" s="123"/>
      <c r="AB12" s="177"/>
    </row>
    <row r="13" spans="1:28" ht="13.5" customHeight="1" x14ac:dyDescent="0.25">
      <c r="A13" s="19"/>
      <c r="B13" s="253" t="s">
        <v>32</v>
      </c>
      <c r="C13" s="253"/>
      <c r="D13" s="19"/>
      <c r="E13" s="254" t="s">
        <v>35</v>
      </c>
      <c r="F13" s="254"/>
      <c r="G13" s="19"/>
      <c r="H13" s="255" t="s">
        <v>2</v>
      </c>
      <c r="I13" s="255"/>
      <c r="J13" s="21"/>
      <c r="K13" s="255" t="s">
        <v>186</v>
      </c>
      <c r="L13" s="255"/>
      <c r="M13" s="21"/>
      <c r="N13" s="255" t="s">
        <v>185</v>
      </c>
      <c r="O13" s="255"/>
      <c r="P13" s="21"/>
      <c r="Q13" s="255" t="s">
        <v>2</v>
      </c>
      <c r="R13" s="255"/>
      <c r="S13" s="21"/>
      <c r="T13" s="17"/>
      <c r="U13" s="42" t="s">
        <v>43</v>
      </c>
      <c r="V13" s="42"/>
      <c r="W13" s="43" t="s">
        <v>44</v>
      </c>
      <c r="X13" s="20"/>
      <c r="Y13" s="104"/>
      <c r="Z13" s="120"/>
      <c r="AA13" s="123"/>
      <c r="AB13" s="177"/>
    </row>
    <row r="14" spans="1:28" ht="13.5" customHeight="1" x14ac:dyDescent="0.25">
      <c r="A14" s="19"/>
      <c r="B14" s="155" t="s">
        <v>0</v>
      </c>
      <c r="C14" s="195">
        <v>40</v>
      </c>
      <c r="D14" s="19"/>
      <c r="E14" s="154" t="s">
        <v>365</v>
      </c>
      <c r="F14" s="186">
        <f>1.9*Tj+215</f>
        <v>443</v>
      </c>
      <c r="G14" s="19"/>
      <c r="H14" s="45" t="s">
        <v>15</v>
      </c>
      <c r="I14" s="53">
        <f>IF(Boost_mode="VPRE",Battery_Line_Voltage-RBD_Voltage_Drop,IF(AND(Boost_mode="BATTERY LINE",( Battery_Line_Voltage - Boost_Vdiode-RBD_Voltage_Drop)&lt;Boost_Output_Voltage),Boost_Output_Voltage,(Battery_Line_Voltage- Boost_Vdiode-RBD_Voltage_Drop)))</f>
        <v>9</v>
      </c>
      <c r="J14" s="21"/>
      <c r="K14" s="56" t="s">
        <v>0</v>
      </c>
      <c r="L14" s="195">
        <v>44</v>
      </c>
      <c r="M14" s="21"/>
      <c r="N14" s="14" t="s">
        <v>201</v>
      </c>
      <c r="O14" s="135">
        <v>700</v>
      </c>
      <c r="P14" s="21"/>
      <c r="Q14" s="45" t="s">
        <v>179</v>
      </c>
      <c r="R14" s="1" t="s">
        <v>182</v>
      </c>
      <c r="S14" s="21"/>
      <c r="T14" s="48" t="s">
        <v>181</v>
      </c>
      <c r="U14" s="49">
        <f>VPRE_PDIS_IC</f>
        <v>0.39011850244640972</v>
      </c>
      <c r="V14" s="49"/>
      <c r="W14" s="50">
        <f>C41</f>
        <v>0.90827013908895315</v>
      </c>
      <c r="X14" s="20"/>
      <c r="Y14" s="104"/>
      <c r="Z14" s="181"/>
      <c r="AA14" s="123"/>
      <c r="AB14" s="177"/>
    </row>
    <row r="15" spans="1:28" ht="13.5" customHeight="1" x14ac:dyDescent="0.25">
      <c r="A15" s="19"/>
      <c r="B15" s="155" t="s">
        <v>16</v>
      </c>
      <c r="C15" s="196">
        <v>10</v>
      </c>
      <c r="D15" s="19"/>
      <c r="E15" s="154" t="s">
        <v>33</v>
      </c>
      <c r="F15" s="187">
        <v>0.78500000000000003</v>
      </c>
      <c r="G15" s="19"/>
      <c r="H15" s="62" t="s">
        <v>207</v>
      </c>
      <c r="I15" s="145">
        <f>IF(Vpre_Total_Output_current=0,0,(Vpre_Total_Output_current*Vpre_output_voltage)/(Vsup*Vpre_Eff))</f>
        <v>0.49542886720174845</v>
      </c>
      <c r="J15" s="21"/>
      <c r="K15" s="56" t="s">
        <v>16</v>
      </c>
      <c r="L15" s="196">
        <v>1</v>
      </c>
      <c r="M15" s="21"/>
      <c r="N15" s="14"/>
      <c r="O15" s="54"/>
      <c r="P15" s="21"/>
      <c r="Q15" s="45" t="s">
        <v>372</v>
      </c>
      <c r="R15" s="249" t="s">
        <v>370</v>
      </c>
      <c r="S15" s="21"/>
      <c r="T15" s="48" t="s">
        <v>350</v>
      </c>
      <c r="U15" s="49">
        <f>IF(AND(Boost_mode="VPRE",Boost_enable="Disabled"),0,Boost_Pdis_IC)</f>
        <v>7.6499999999999997E-3</v>
      </c>
      <c r="V15" s="49"/>
      <c r="W15" s="50">
        <f>IF(Boost_Duty_Cycle=0,"NA",Boost_eff)</f>
        <v>0.85025769626503078</v>
      </c>
      <c r="X15" s="20"/>
      <c r="Y15" s="104"/>
      <c r="Z15" s="120"/>
      <c r="AA15" s="123"/>
      <c r="AB15" s="177"/>
    </row>
    <row r="16" spans="1:28" ht="13.5" customHeight="1" x14ac:dyDescent="0.25">
      <c r="A16" s="19"/>
      <c r="B16" s="155" t="s">
        <v>1</v>
      </c>
      <c r="C16" s="195">
        <v>40</v>
      </c>
      <c r="D16" s="19"/>
      <c r="E16" s="154" t="s">
        <v>119</v>
      </c>
      <c r="F16" s="188">
        <f>IF(Vpre_SR="FAST",2,4)</f>
        <v>2</v>
      </c>
      <c r="G16" s="19"/>
      <c r="H16" s="45" t="s">
        <v>187</v>
      </c>
      <c r="I16" s="1">
        <v>6.05</v>
      </c>
      <c r="J16" s="21"/>
      <c r="K16" s="56" t="s">
        <v>1</v>
      </c>
      <c r="L16" s="195">
        <v>44</v>
      </c>
      <c r="M16" s="21"/>
      <c r="N16" s="14"/>
      <c r="O16" s="54"/>
      <c r="P16" s="21"/>
      <c r="Q16" s="45" t="s">
        <v>183</v>
      </c>
      <c r="R16" s="46">
        <f>IF(R14="VPRE",Vpre_output_voltage,Battery_Line_Voltage-RBD_Voltage_Drop)</f>
        <v>2.2000000000000002</v>
      </c>
      <c r="S16" s="21"/>
      <c r="T16" s="48" t="s">
        <v>330</v>
      </c>
      <c r="U16" s="49">
        <f>Vcore_PDIS_IC</f>
        <v>0.64401979345415816</v>
      </c>
      <c r="V16" s="49"/>
      <c r="W16" s="50">
        <f>C73</f>
        <v>0.77739159238278566</v>
      </c>
      <c r="X16" s="20"/>
      <c r="Y16" s="104"/>
      <c r="Z16" s="120"/>
      <c r="AA16" s="123"/>
      <c r="AB16" s="177"/>
    </row>
    <row r="17" spans="1:34" ht="13.5" customHeight="1" x14ac:dyDescent="0.25">
      <c r="A17" s="19"/>
      <c r="B17" s="155" t="s">
        <v>17</v>
      </c>
      <c r="C17" s="196">
        <v>10</v>
      </c>
      <c r="D17" s="19"/>
      <c r="E17" s="154" t="s">
        <v>120</v>
      </c>
      <c r="F17" s="188">
        <f>IF(Vpre_SR="FAST",2,4)</f>
        <v>2</v>
      </c>
      <c r="G17" s="19"/>
      <c r="H17" s="146"/>
      <c r="I17" s="145"/>
      <c r="J17" s="21"/>
      <c r="K17" s="56" t="s">
        <v>17</v>
      </c>
      <c r="L17" s="196">
        <v>1</v>
      </c>
      <c r="M17" s="21"/>
      <c r="N17" s="226"/>
      <c r="O17" s="226"/>
      <c r="P17" s="21"/>
      <c r="Q17" s="97" t="s">
        <v>193</v>
      </c>
      <c r="R17" s="158">
        <f>IF(AND(Boost_mode="VPRE",Boost_enable="Disabled"),0,IF((Boost_Input_Voltage-Boost_Vdiode)&lt;Boost_Output_Voltage,IF(Conduction_MODE="CCM",Iin_CCM,Iin_DCM),Boost_output_Current))</f>
        <v>2.1995496130601615</v>
      </c>
      <c r="S17" s="21"/>
      <c r="T17" s="48" t="s">
        <v>57</v>
      </c>
      <c r="U17" s="49">
        <f>LDO1_PDIS_IC</f>
        <v>5.2499999999999991E-2</v>
      </c>
      <c r="V17" s="49"/>
      <c r="W17" s="50" t="s">
        <v>166</v>
      </c>
      <c r="X17" s="20"/>
      <c r="Y17" s="104"/>
      <c r="Z17" s="120"/>
      <c r="AA17" s="123"/>
      <c r="AB17" s="177"/>
    </row>
    <row r="18" spans="1:34" ht="13.5" customHeight="1" x14ac:dyDescent="0.25">
      <c r="A18" s="19"/>
      <c r="B18" s="155" t="s">
        <v>18</v>
      </c>
      <c r="C18" s="197">
        <v>10</v>
      </c>
      <c r="D18" s="19"/>
      <c r="E18" s="154" t="s">
        <v>139</v>
      </c>
      <c r="F18" s="189">
        <v>5</v>
      </c>
      <c r="G18" s="19"/>
      <c r="H18" s="62" t="s">
        <v>188</v>
      </c>
      <c r="I18" s="145" cm="1">
        <f t="array" ref="I18">Vcore_Input_Current+Ldo1_Iout+Ldo2_Iout+Trk1_Iout+Trk2_Iout+Vref_Iout+IF(AND(Boost_mode="VPRE",Boost_enable="Enabled"),Boost_Input_Current,0)+IF(AND((VBOS_IN="VPRE"),(Vpre_output_voltage&gt;=5)),IBOS_tot,0)</f>
        <v>0.66939656447903007</v>
      </c>
      <c r="J18" s="21"/>
      <c r="K18" s="56" t="s">
        <v>18</v>
      </c>
      <c r="L18" s="197">
        <v>4</v>
      </c>
      <c r="M18" s="21"/>
      <c r="N18" s="14"/>
      <c r="O18" s="226"/>
      <c r="P18" s="21"/>
      <c r="Q18" s="45" t="s">
        <v>38</v>
      </c>
      <c r="R18" s="1">
        <v>9</v>
      </c>
      <c r="S18" s="21"/>
      <c r="T18" s="48" t="s">
        <v>58</v>
      </c>
      <c r="U18" s="49">
        <f>LDO2_PDIS_IC</f>
        <v>5.2499999999999991E-2</v>
      </c>
      <c r="V18" s="49"/>
      <c r="W18" s="50" t="s">
        <v>166</v>
      </c>
      <c r="X18" s="20"/>
      <c r="Y18" s="104"/>
      <c r="Z18" s="120"/>
      <c r="AA18" s="123"/>
      <c r="AB18" s="177"/>
    </row>
    <row r="19" spans="1:34" ht="13.5" customHeight="1" x14ac:dyDescent="0.25">
      <c r="A19" s="19"/>
      <c r="B19" s="155" t="s">
        <v>19</v>
      </c>
      <c r="C19" s="196">
        <v>40</v>
      </c>
      <c r="D19" s="19"/>
      <c r="E19" s="154" t="s">
        <v>127</v>
      </c>
      <c r="F19" s="190">
        <v>125</v>
      </c>
      <c r="G19" s="19"/>
      <c r="H19" s="45" t="s">
        <v>189</v>
      </c>
      <c r="I19" s="2">
        <v>0</v>
      </c>
      <c r="J19" s="21"/>
      <c r="K19" s="56" t="s">
        <v>19</v>
      </c>
      <c r="L19" s="196">
        <v>65</v>
      </c>
      <c r="M19" s="21"/>
      <c r="N19" s="14"/>
      <c r="O19" s="226"/>
      <c r="P19" s="21"/>
      <c r="Q19" s="45" t="s">
        <v>208</v>
      </c>
      <c r="R19" s="161">
        <f>IF(Boost_mode="BATTERY LINE",Vpre_input_current,0)</f>
        <v>0.49542886720174845</v>
      </c>
      <c r="S19" s="21"/>
      <c r="T19" s="48" t="s">
        <v>105</v>
      </c>
      <c r="U19" s="49">
        <f>TRK1_PDIS_IC</f>
        <v>1.0514999999999998E-2</v>
      </c>
      <c r="V19" s="49"/>
      <c r="W19" s="50" t="s">
        <v>166</v>
      </c>
      <c r="X19" s="20"/>
      <c r="Y19" s="181"/>
      <c r="AA19" s="123"/>
      <c r="AB19" s="177"/>
    </row>
    <row r="20" spans="1:34" ht="13.5" customHeight="1" x14ac:dyDescent="0.25">
      <c r="A20" s="19"/>
      <c r="B20" s="155"/>
      <c r="C20" s="53"/>
      <c r="D20" s="19"/>
      <c r="E20" s="176"/>
      <c r="F20" s="176"/>
      <c r="G20" s="19"/>
      <c r="H20" s="62" t="s">
        <v>190</v>
      </c>
      <c r="I20" s="161">
        <f>Vpre_Additional_Output_current+Vpre_Output_current</f>
        <v>0.66939656447903007</v>
      </c>
      <c r="J20" s="21"/>
      <c r="K20" s="56" t="s">
        <v>37</v>
      </c>
      <c r="L20" s="198">
        <v>0.6</v>
      </c>
      <c r="M20" s="21"/>
      <c r="N20" s="14"/>
      <c r="P20" s="21"/>
      <c r="Q20" s="45" t="s">
        <v>189</v>
      </c>
      <c r="R20" s="2">
        <v>0</v>
      </c>
      <c r="S20" s="21"/>
      <c r="T20" s="48" t="s">
        <v>106</v>
      </c>
      <c r="U20" s="49">
        <f>TRK2_PDIS_IC</f>
        <v>1.0514999999999998E-2</v>
      </c>
      <c r="V20" s="49"/>
      <c r="W20" s="50" t="s">
        <v>166</v>
      </c>
      <c r="X20" s="20"/>
      <c r="Y20" s="164"/>
      <c r="Z20" s="120"/>
      <c r="AA20" s="177"/>
      <c r="AB20" s="177"/>
    </row>
    <row r="21" spans="1:34" ht="13.5" customHeight="1" x14ac:dyDescent="0.25">
      <c r="A21" s="19"/>
      <c r="B21" s="157" t="s">
        <v>219</v>
      </c>
      <c r="C21" s="1" t="s">
        <v>213</v>
      </c>
      <c r="D21" s="19"/>
      <c r="E21" s="18" t="s">
        <v>366</v>
      </c>
      <c r="F21" s="186">
        <f>1.3*Tj+105</f>
        <v>261</v>
      </c>
      <c r="G21" s="19"/>
      <c r="I21" s="58" t="str">
        <f>"( ≤ "&amp;Vpre_Imax&amp;" A )"</f>
        <v>( ≤ 1.5 A )</v>
      </c>
      <c r="J21" s="21"/>
      <c r="K21" s="56" t="s">
        <v>366</v>
      </c>
      <c r="L21" s="196">
        <v>24</v>
      </c>
      <c r="M21" s="21"/>
      <c r="P21" s="21"/>
      <c r="Q21" s="62" t="s">
        <v>209</v>
      </c>
      <c r="R21" s="161">
        <f>IF(AND(Boost_mode="VPRE",Boost_enable="Disabled"),0,IF((Boost_Input_Voltage-Boost_Vdiode)&lt;Boost_Output_Voltage,Boost_output_Current+Boost_Additional_output_Current,Boost_output_Current))</f>
        <v>0.49542886720174845</v>
      </c>
      <c r="S21" s="21"/>
      <c r="T21" s="48" t="s">
        <v>156</v>
      </c>
      <c r="U21" s="49">
        <f>VREF_PDIS_IC</f>
        <v>5.2499999999999995E-3</v>
      </c>
      <c r="W21" s="50" t="s">
        <v>166</v>
      </c>
      <c r="X21" s="20"/>
      <c r="Y21" s="164"/>
      <c r="Z21" s="177"/>
      <c r="AA21" s="177"/>
      <c r="AB21" s="177"/>
    </row>
    <row r="22" spans="1:34" ht="13.5" customHeight="1" x14ac:dyDescent="0.25">
      <c r="A22" s="19"/>
      <c r="B22" s="176"/>
      <c r="D22" s="19"/>
      <c r="E22" s="18" t="s">
        <v>34</v>
      </c>
      <c r="F22" s="191">
        <v>1</v>
      </c>
      <c r="G22" s="19"/>
      <c r="H22" s="45" t="s">
        <v>4</v>
      </c>
      <c r="I22" s="13">
        <v>2250</v>
      </c>
      <c r="J22" s="21"/>
      <c r="K22" s="56" t="s">
        <v>349</v>
      </c>
      <c r="L22" s="199">
        <v>3.4</v>
      </c>
      <c r="M22" s="21"/>
      <c r="P22" s="21"/>
      <c r="Q22" s="14"/>
      <c r="R22" s="58" t="str">
        <f>IF(R14="BATTERY LINE","(≤ "&amp;I5&amp;" A)","( ≤ "&amp;I4&amp;" A )")</f>
        <v>(≤ 1 A)</v>
      </c>
      <c r="S22" s="21"/>
      <c r="T22" s="48" t="s">
        <v>222</v>
      </c>
      <c r="U22" s="49" cm="1">
        <f t="array" ref="U22">IF(AND((VBOS_IN="VPRE"),(Vpre_output_voltage&gt;=5)),(Vpre_output_voltage-5)*IBOS_tot+VBOS*IBOS_others,(Vsup-5)*IBOS_tot+VBOS*IBOS_others)</f>
        <v>5.0569312499999998E-2</v>
      </c>
      <c r="V22" s="49"/>
      <c r="W22" s="50" t="s">
        <v>166</v>
      </c>
      <c r="X22" s="20"/>
      <c r="Y22" s="164"/>
      <c r="Z22" s="177"/>
      <c r="AA22" s="177"/>
      <c r="AB22" s="177"/>
    </row>
    <row r="23" spans="1:34" ht="13.5" customHeight="1" x14ac:dyDescent="0.25">
      <c r="A23" s="19"/>
      <c r="B23" s="19"/>
      <c r="C23" s="19"/>
      <c r="D23" s="19"/>
      <c r="E23" s="18" t="s">
        <v>122</v>
      </c>
      <c r="F23" s="188">
        <f>IF(Vpre_SR="FAST",2,4)</f>
        <v>2</v>
      </c>
      <c r="G23" s="19"/>
      <c r="H23" s="62" t="s">
        <v>153</v>
      </c>
      <c r="I23" s="173">
        <f>1000000/Vpre_Frequency</f>
        <v>0.44444444444444442</v>
      </c>
      <c r="J23" s="21"/>
      <c r="K23" s="56" t="s">
        <v>197</v>
      </c>
      <c r="L23" s="199">
        <v>1.5</v>
      </c>
      <c r="M23" s="21"/>
      <c r="P23" s="21"/>
      <c r="S23" s="21"/>
      <c r="T23" s="48"/>
      <c r="U23" s="49"/>
      <c r="V23" s="49"/>
      <c r="W23" s="59"/>
      <c r="X23" s="20"/>
      <c r="Y23" s="164"/>
      <c r="Z23" s="177"/>
      <c r="AB23" s="177"/>
    </row>
    <row r="24" spans="1:34" ht="13.5" customHeight="1" x14ac:dyDescent="0.25">
      <c r="A24" s="19"/>
      <c r="B24" s="262" t="s">
        <v>222</v>
      </c>
      <c r="C24" s="263"/>
      <c r="D24" s="19"/>
      <c r="E24" s="18" t="s">
        <v>120</v>
      </c>
      <c r="F24" s="188">
        <f>IF(Vpre_SR="FAST",2,4)</f>
        <v>2</v>
      </c>
      <c r="G24" s="19"/>
      <c r="H24" s="62" t="s">
        <v>151</v>
      </c>
      <c r="I24" s="173">
        <f>1000000*Vpre_Period*Vpre_Duty_Cycle</f>
        <v>0.3129518052054267</v>
      </c>
      <c r="J24" s="21"/>
      <c r="K24" s="56" t="s">
        <v>198</v>
      </c>
      <c r="L24" s="199">
        <v>1.1000000000000001</v>
      </c>
      <c r="M24" s="21"/>
      <c r="N24" s="14"/>
      <c r="O24" s="52"/>
      <c r="P24" s="21"/>
      <c r="Q24" s="45" t="s">
        <v>4</v>
      </c>
      <c r="R24" s="159">
        <v>450</v>
      </c>
      <c r="S24" s="21"/>
      <c r="T24" s="48" t="s">
        <v>48</v>
      </c>
      <c r="U24" s="64">
        <f>IF((Boost_Input_Voltage-Boost_Vdiode)&gt;=Boost_Output_Voltage,(Vpre_output_voltage*Vpre_Additional_Output_current)+Vcore_Pout+LDO1_Pout+LDO2_Pout+TRK1_Pout+TRK2_Pout+VREF_Pout,(Vpre_output_voltage*Vpre_Additional_Output_current)+Vcore_Pout+Boost_Pout+LDO1_Pout+LDO2_Pout+TRK1_Pout+TRK2_Pout+VREF_Pout)</f>
        <v>7.5588598048157358</v>
      </c>
      <c r="V24" s="64"/>
      <c r="W24" s="65" t="s">
        <v>45</v>
      </c>
      <c r="X24" s="20"/>
      <c r="Y24" s="164"/>
      <c r="Z24" s="177"/>
      <c r="AA24" s="177"/>
      <c r="AB24" s="177"/>
      <c r="AD24" s="203"/>
      <c r="AE24" s="203"/>
      <c r="AF24" s="203"/>
      <c r="AG24" s="203"/>
      <c r="AH24" s="203"/>
    </row>
    <row r="25" spans="1:34" ht="13.5" customHeight="1" x14ac:dyDescent="0.25">
      <c r="A25" s="19"/>
      <c r="B25" s="19"/>
      <c r="C25" s="19"/>
      <c r="D25" s="19"/>
      <c r="E25" s="18" t="s">
        <v>124</v>
      </c>
      <c r="F25" s="192">
        <v>0.7</v>
      </c>
      <c r="G25" s="19"/>
      <c r="H25" s="62" t="s">
        <v>152</v>
      </c>
      <c r="I25" s="173">
        <f>1000000*Vpre_Period*(1-Vpre_Duty_Cycle)</f>
        <v>0.13149263923901772</v>
      </c>
      <c r="J25" s="21"/>
      <c r="K25" s="56" t="s">
        <v>199</v>
      </c>
      <c r="L25" s="199">
        <v>0.9</v>
      </c>
      <c r="M25" s="21"/>
      <c r="P25" s="21"/>
      <c r="Q25" s="45" t="s">
        <v>204</v>
      </c>
      <c r="R25" s="202">
        <f>IF((Boost_Input_Voltage-Boost_Vdiode)&gt;=Boost_Output_Voltage,0,(Boost_LS_Qsw/Boost_Gate_Current)*1000000000)</f>
        <v>2.4285714285714284</v>
      </c>
      <c r="S25" s="21"/>
      <c r="T25" s="48" t="s">
        <v>9</v>
      </c>
      <c r="U25" s="64">
        <f>VPRE_Pdis_tot+Boost_Pdis_tot+Vcore_Pdis_tot+LDO1_PDIS_IC+LDO2_PDIS_IC+VREF_PDIS_IC+TRK1_PDIS_IC+TRK2_PDIS_IC+Pdis_Int_IC+IF(AND(Boost_mode="BATTERY LINE",(Boost_Input_Voltage-Boost_Vdiode)&gt;=Boost_Output_Voltage),RBD_Voltage_Drop*Boost_Input_Current,RBD_Voltage_Drop*Vpre_input_current)</f>
        <v>2.3325657279940515</v>
      </c>
      <c r="V25" s="64"/>
      <c r="W25" s="65" t="s">
        <v>45</v>
      </c>
      <c r="X25" s="20"/>
      <c r="Y25" s="164"/>
      <c r="Z25" s="177"/>
      <c r="AA25" s="177"/>
      <c r="AB25" s="177"/>
      <c r="AD25" s="203"/>
      <c r="AE25" s="203"/>
      <c r="AF25" s="203"/>
      <c r="AG25" s="203"/>
      <c r="AH25" s="203"/>
    </row>
    <row r="26" spans="1:34" ht="13.5" customHeight="1" x14ac:dyDescent="0.25">
      <c r="A26" s="19"/>
      <c r="B26" s="157" t="s">
        <v>232</v>
      </c>
      <c r="C26" s="1" t="s">
        <v>181</v>
      </c>
      <c r="D26" s="19"/>
      <c r="E26" s="154" t="s">
        <v>140</v>
      </c>
      <c r="F26" s="189">
        <v>5</v>
      </c>
      <c r="G26" s="19"/>
      <c r="H26" s="128" t="s">
        <v>132</v>
      </c>
      <c r="I26" s="129">
        <v>20</v>
      </c>
      <c r="J26" s="21"/>
      <c r="K26" s="56" t="s">
        <v>200</v>
      </c>
      <c r="L26" s="191">
        <f>(Boost_LS_Qgs+Boost_LS_Qgd-Boost_LS_Qth)*1000000000</f>
        <v>1.7</v>
      </c>
      <c r="M26" s="21"/>
      <c r="P26" s="21"/>
      <c r="Q26" s="45" t="s">
        <v>203</v>
      </c>
      <c r="R26" s="202">
        <f>IF((Boost_Input_Voltage-Boost_Vdiode)&gt;=Boost_Output_Voltage,0,(Boost_LS_Qsw/Boost_Gate_Current)*1000000000)</f>
        <v>2.4285714285714284</v>
      </c>
      <c r="S26" s="21"/>
      <c r="T26" s="48" t="s">
        <v>46</v>
      </c>
      <c r="U26" s="144">
        <f>SUM(U14:U22)</f>
        <v>1.223637608400568</v>
      </c>
      <c r="V26" s="67"/>
      <c r="W26" s="68" t="s">
        <v>45</v>
      </c>
      <c r="X26" s="20"/>
      <c r="Y26" s="164"/>
      <c r="Z26" s="177"/>
      <c r="AA26" s="177"/>
      <c r="AB26" s="177"/>
      <c r="AD26" s="203"/>
      <c r="AE26" s="203"/>
      <c r="AF26" s="203"/>
      <c r="AG26" s="203"/>
      <c r="AH26" s="203"/>
    </row>
    <row r="27" spans="1:34" ht="13.5" customHeight="1" x14ac:dyDescent="0.25">
      <c r="A27" s="19"/>
      <c r="B27" s="18" t="s">
        <v>215</v>
      </c>
      <c r="C27" s="230" cm="1">
        <f t="array" ref="C27">(((Vpre_HS_Qg+Vpre_LS_Qg)*Vpre_Frequency)+IF(OR((Boost_Input_Voltage-Boost_Vdiode)&gt;=Boost_Output_Voltage,AND(Boost_mode="VPRE",Boost_enable="Disabled")),0,(Boost_LS_Qth+Boost_LS_Qsw)*Boost_Frequency)+IF(Vcore_Total_Output_current&gt;0,((Vcore_HS_Qg+Vcore_LS_Qg)*Vcore_Frequency+IBOS_Core_biasing),0))*1000</f>
        <v>11.86125</v>
      </c>
      <c r="D27" s="19"/>
      <c r="E27" s="154" t="s">
        <v>128</v>
      </c>
      <c r="F27" s="190">
        <v>125</v>
      </c>
      <c r="G27" s="19"/>
      <c r="H27" s="128" t="s">
        <v>133</v>
      </c>
      <c r="I27" s="129">
        <v>20</v>
      </c>
      <c r="J27" s="21"/>
      <c r="K27" s="56" t="s">
        <v>206</v>
      </c>
      <c r="L27" s="200">
        <v>655</v>
      </c>
      <c r="M27" s="21"/>
      <c r="P27" s="21"/>
      <c r="Q27" s="45" t="s">
        <v>352</v>
      </c>
      <c r="R27" s="228">
        <v>0.875</v>
      </c>
      <c r="S27" s="21"/>
      <c r="T27" s="14"/>
      <c r="U27" s="14"/>
      <c r="V27" s="69"/>
      <c r="W27" s="65"/>
      <c r="X27" s="20"/>
      <c r="Y27" s="164"/>
      <c r="Z27" s="177"/>
      <c r="AA27" s="177"/>
      <c r="AB27" s="177"/>
      <c r="AD27" s="203"/>
      <c r="AE27" s="203"/>
      <c r="AF27" s="203"/>
      <c r="AG27" s="203"/>
      <c r="AH27" s="203"/>
    </row>
    <row r="28" spans="1:34" ht="13.5" customHeight="1" x14ac:dyDescent="0.25">
      <c r="A28" s="19"/>
      <c r="B28" s="18" t="s">
        <v>216</v>
      </c>
      <c r="C28" s="230">
        <f xml:space="preserve"> IBOS_TRK1+IBOS_TRK2+IBOS_VREF+5</f>
        <v>6.3</v>
      </c>
      <c r="D28" s="19"/>
      <c r="E28" s="154" t="s">
        <v>211</v>
      </c>
      <c r="F28" s="191">
        <v>5</v>
      </c>
      <c r="G28" s="19"/>
      <c r="H28" s="128"/>
      <c r="I28" s="217"/>
      <c r="J28" s="21"/>
      <c r="K28" s="56" t="s">
        <v>196</v>
      </c>
      <c r="L28" s="196">
        <v>10</v>
      </c>
      <c r="M28" s="21"/>
      <c r="N28" s="14"/>
      <c r="O28" s="52"/>
      <c r="P28" s="21"/>
      <c r="Q28" s="45"/>
      <c r="R28" s="159"/>
      <c r="S28" s="21"/>
      <c r="T28" s="66" t="s">
        <v>47</v>
      </c>
      <c r="U28" s="140">
        <f>Tj_max-Rth_ja*Pdis_tot_IC</f>
        <v>119.4090597899858</v>
      </c>
      <c r="V28" s="17"/>
      <c r="W28" s="73" t="s">
        <v>45</v>
      </c>
      <c r="X28" s="20"/>
      <c r="Y28" s="164"/>
      <c r="Z28" s="177"/>
      <c r="AA28" s="177"/>
      <c r="AB28" s="177"/>
      <c r="AD28" s="203"/>
      <c r="AE28" s="203"/>
      <c r="AF28" s="203"/>
      <c r="AG28" s="203"/>
      <c r="AH28" s="203"/>
    </row>
    <row r="29" spans="1:34" ht="13.5" customHeight="1" x14ac:dyDescent="0.25">
      <c r="A29" s="19"/>
      <c r="B29" s="18" t="s">
        <v>217</v>
      </c>
      <c r="C29" s="230">
        <f>C27+C28</f>
        <v>18.161249999999999</v>
      </c>
      <c r="D29" s="19"/>
      <c r="E29" s="154"/>
      <c r="F29" s="191"/>
      <c r="G29" s="19"/>
      <c r="H29" s="128"/>
      <c r="I29" s="129"/>
      <c r="J29" s="21"/>
      <c r="K29" s="44"/>
      <c r="L29" s="178"/>
      <c r="M29" s="21"/>
      <c r="N29" s="14"/>
      <c r="O29" s="52"/>
      <c r="P29" s="21"/>
      <c r="Q29" s="45"/>
      <c r="R29" s="159"/>
      <c r="S29" s="21"/>
      <c r="T29" s="74" t="s">
        <v>53</v>
      </c>
      <c r="U29" s="75">
        <f>U24/(U24+U25)</f>
        <v>0.76418305730989455</v>
      </c>
      <c r="V29" s="14"/>
      <c r="W29" s="73" t="s">
        <v>45</v>
      </c>
      <c r="X29" s="20"/>
      <c r="Y29" s="164"/>
      <c r="Z29" s="177"/>
      <c r="AA29" s="177"/>
      <c r="AB29" s="177"/>
      <c r="AD29" s="203"/>
      <c r="AE29" s="203"/>
      <c r="AF29" s="203"/>
      <c r="AG29" s="203"/>
      <c r="AH29" s="203"/>
    </row>
    <row r="30" spans="1:34" ht="13.5" customHeight="1" x14ac:dyDescent="0.25">
      <c r="A30" s="19"/>
      <c r="B30" s="231" t="s">
        <v>357</v>
      </c>
      <c r="C30" s="232">
        <f>2.4</f>
        <v>2.4</v>
      </c>
      <c r="D30" s="20"/>
      <c r="E30" s="20"/>
      <c r="F30" s="20"/>
      <c r="G30" s="20"/>
      <c r="H30" s="20"/>
      <c r="I30" s="20"/>
      <c r="J30" s="21"/>
      <c r="K30" s="20"/>
      <c r="L30" s="20"/>
      <c r="M30" s="20"/>
      <c r="N30" s="20"/>
      <c r="O30" s="20"/>
      <c r="P30" s="20"/>
      <c r="Q30" s="20"/>
      <c r="R30" s="20"/>
      <c r="S30" s="21"/>
      <c r="T30" s="20"/>
      <c r="U30" s="20"/>
      <c r="V30" s="20"/>
      <c r="W30" s="20"/>
      <c r="X30" s="20"/>
      <c r="Y30" s="164"/>
      <c r="Z30" s="177"/>
      <c r="AA30" s="177"/>
      <c r="AB30" s="177"/>
      <c r="AD30" s="203"/>
      <c r="AE30" s="203"/>
      <c r="AF30" s="203"/>
      <c r="AG30" s="203"/>
      <c r="AH30" s="203"/>
    </row>
    <row r="31" spans="1:34" ht="13.8" x14ac:dyDescent="0.25">
      <c r="A31" s="19"/>
      <c r="B31" s="48" t="s">
        <v>8</v>
      </c>
      <c r="C31" s="150">
        <f>Vpre_output_voltage*Vpre_Total_Output_current</f>
        <v>4.0498492150981313</v>
      </c>
      <c r="D31" s="17"/>
      <c r="E31" s="166"/>
      <c r="G31" s="17"/>
      <c r="H31" s="48" t="s">
        <v>14</v>
      </c>
      <c r="I31" s="50">
        <f>(Vpre_output_voltage+Vpre_Total_Output_current*(Vpre_LS_Rdson+Vpre_L_DCR))/(Vsup-Vpre_Total_Output_current*(Vpre_HS_Rdson-Vpre_LS_Rdson))</f>
        <v>0.7041415617122101</v>
      </c>
      <c r="J31" s="21"/>
      <c r="K31" s="24" t="s">
        <v>8</v>
      </c>
      <c r="L31" s="193">
        <f>IF(AND(Boost_mode="VPRE",Boost_enable="Disabled"),0,IF((Boost_Input_Voltage-Boost_Vdiode)&gt;=Boost_Output_Voltage,0,Boost_Output_Voltage*Boost_Total_Output_Current))</f>
        <v>4.4588598048157362</v>
      </c>
      <c r="M31" s="61"/>
      <c r="N31" s="24" t="s">
        <v>137</v>
      </c>
      <c r="O31" s="193" cm="1">
        <f t="array" ref="O31">IF(AND(Boost_mode="VPRE",Boost_enable="Disabled"),0,VBOS*LS_Qgtot*Boost_Frequency)</f>
        <v>7.6499999999999997E-3</v>
      </c>
      <c r="P31" s="61"/>
      <c r="Q31" s="24" t="s">
        <v>14</v>
      </c>
      <c r="R31" s="26">
        <f>IF((Boost_Input_Voltage-Boost_Vdiode)&gt;=Boost_Output_Voltage,0,IF(Conduction_MODE="CCM",D_CCM,D_DCM))</f>
        <v>0.77475894871383488</v>
      </c>
      <c r="S31" s="21"/>
      <c r="T31" s="237"/>
      <c r="U31" s="237"/>
      <c r="V31" s="237"/>
      <c r="W31" s="237"/>
      <c r="X31" s="238"/>
      <c r="Y31" s="237"/>
      <c r="Z31" s="220"/>
      <c r="AA31" s="220"/>
      <c r="AB31" s="220"/>
      <c r="AD31" s="24"/>
      <c r="AE31" s="193"/>
      <c r="AF31" s="203"/>
      <c r="AG31" s="203"/>
      <c r="AH31" s="203"/>
    </row>
    <row r="32" spans="1:34" ht="13.8" x14ac:dyDescent="0.25">
      <c r="A32" s="19"/>
      <c r="B32" s="17"/>
      <c r="C32" s="17"/>
      <c r="D32" s="17"/>
      <c r="E32" s="48" t="s">
        <v>39</v>
      </c>
      <c r="F32" s="149">
        <f>Vpre_Duty_Cycle*Vpre_HS_Rdson*(Vpre_Total_Output_current^2+Vpre_Delta_IL^2/12)</f>
        <v>0.13996635952885375</v>
      </c>
      <c r="G32" s="14"/>
      <c r="H32" s="153" t="s">
        <v>11</v>
      </c>
      <c r="I32" s="57">
        <f>Vpre_Duty_Cycle*(Vsup-Vpre_output_voltage-Vpre_Total_Output_current*(_xlfn.SINGLE(Vpre_HS_Rdson)+_xlfn.SINGLE(Vpre_L_DCR)))/_xlfn.SINGLE(Vpre_L)/_xlfn.SINGLE(Vpre_Frequency)/(1-0.3*_xlfn.SINGLE(Vpre_Total_Output_current)/4.9)</f>
        <v>8.5715383708538193E-2</v>
      </c>
      <c r="J32" s="21"/>
      <c r="K32" s="24" t="s">
        <v>5</v>
      </c>
      <c r="L32" s="193">
        <f>IF(AND(Boost_mode="VPRE",Boost_enable="Disabled"),0,Boost_Cin_ESR*(Boost_Delta_IL^2/3))</f>
        <v>2.9889062906202546E-4</v>
      </c>
      <c r="M32" s="18"/>
      <c r="N32" s="164"/>
      <c r="O32" s="164"/>
      <c r="P32" s="18"/>
      <c r="Q32" s="71" t="s">
        <v>11</v>
      </c>
      <c r="R32" s="141">
        <f>IF((Boost_Input_Voltage-Boost_Vdiode)&gt;=Boost_Output_Voltage,0,IF(Conduction_MODE="CCM",delta_IL_CCM,delta_IL_DCM))</f>
        <v>0.94692760398357612</v>
      </c>
      <c r="S32" s="21"/>
      <c r="T32" s="237"/>
      <c r="U32" s="239" t="s">
        <v>235</v>
      </c>
      <c r="V32" s="239"/>
      <c r="W32" s="239" t="s">
        <v>234</v>
      </c>
      <c r="X32" s="238"/>
      <c r="Y32" s="240">
        <v>9.9999999999999995E-7</v>
      </c>
      <c r="Z32" s="220"/>
      <c r="AA32" s="220"/>
      <c r="AB32" s="220"/>
      <c r="AD32" s="24"/>
      <c r="AE32" s="193"/>
      <c r="AF32" s="203"/>
      <c r="AG32" s="203"/>
      <c r="AH32" s="203"/>
    </row>
    <row r="33" spans="1:34" ht="13.8" x14ac:dyDescent="0.25">
      <c r="A33" s="19"/>
      <c r="B33" s="48" t="s">
        <v>5</v>
      </c>
      <c r="C33" s="151">
        <f>Vpre_Cin_ESR*(Vpre_Duty_Cycle*(1-Vpre_Duty_Cycle)*Vpre_Total_Output_current^2+(Vpre_Duty_Cycle*Vpre_Delta_IL^2/12))</f>
        <v>9.3780382055710834E-4</v>
      </c>
      <c r="D33" s="17"/>
      <c r="E33" s="48" t="s">
        <v>40</v>
      </c>
      <c r="F33" s="149">
        <f>(Vsup*Vpre_Total_Output_current/2)*(Vpre_HS_rise_time+Vpre_HS_fall_time)*Vpre_Frequency</f>
        <v>2.7110560861400717E-2</v>
      </c>
      <c r="G33" s="14"/>
      <c r="H33" s="48" t="s">
        <v>3</v>
      </c>
      <c r="I33" s="57">
        <f>Vpre_Total_Output_current+Vpre_Delta_IL/2</f>
        <v>0.7122542563332992</v>
      </c>
      <c r="J33" s="21"/>
      <c r="K33" s="24" t="s">
        <v>6</v>
      </c>
      <c r="L33" s="193">
        <f>IF(AND(Boost_enable="Disabled",Boost_mode="VPRE"),0,IF(Conduction_MODE="CCM",Boost_Cout_ESR*(Boost_Duty_Cycle*Boost_Total_Output_Current^2+(1-Boost_Duty_Cycle)*(Boost_Ipeak-Boost_Total_Output_Current)^2 + (Boost_Delta_IL^2/3)*(1-Boost_Duty_Cycle)),Boost_Cout_ESR*(Boost_Duty_Cycle*Boost_Total_Output_Current^2+(1/3)*(t_2*Boost_Frequency-Boost_Duty_Cycle)*((Boost_Ipeak-Boost_Total_Output_Current)^2+(Boost_Ipeak-Boost_Total_Output_Current)*(-Boost_Total_Output_Current)+Boost_Total_Output_Current^2)+(1-t_2*Boost_Frequency)*Boost_Total_Output_Current^2)))</f>
        <v>1.3255516285538508E-3</v>
      </c>
      <c r="M33" s="18"/>
      <c r="N33" s="164"/>
      <c r="O33" s="164"/>
      <c r="P33" s="18"/>
      <c r="Q33" s="60" t="s">
        <v>3</v>
      </c>
      <c r="R33" s="57">
        <f>IF((Boost_Input_Voltage-Boost_Vdiode)&gt;=Boost_Output_Voltage,0,IF(Conduction_MODE="CCM",I_peak_CCM,I_peak_DCM))</f>
        <v>2.6730134150519493</v>
      </c>
      <c r="S33" s="21"/>
      <c r="T33" s="238"/>
      <c r="U33" s="241">
        <f>-(Boost_L/(Boost_LS_RDSON+Boost_Rsense+Boost_L_DCR))*LN(1-(Boost_LS_RDSON+Boost_Rsense+Boost_L_DCR)*I_peak_DCM/Boost_Input_Voltage)*Boost_Frequency</f>
        <v>1.7311986943732318</v>
      </c>
      <c r="V33" s="241"/>
      <c r="W33" s="242">
        <f>(Boost_Output_Voltage+Boost_Vdiode-Boost_Input_Voltage)/(Boost_Output_Voltage+Boost_Vdiode-(Boost_LS_RDSON*Boost_Total_Output_Current*Boost_Output_Voltage/Boost_Input_Voltage))</f>
        <v>0.77475894871383488</v>
      </c>
      <c r="X33" s="238"/>
      <c r="Y33" s="240">
        <v>1E-3</v>
      </c>
      <c r="Z33" s="220"/>
      <c r="AA33" s="220"/>
      <c r="AB33" s="220"/>
      <c r="AD33" s="24"/>
      <c r="AE33" s="193"/>
      <c r="AF33" s="203"/>
      <c r="AG33" s="203"/>
      <c r="AH33" s="203"/>
    </row>
    <row r="34" spans="1:34" ht="13.8" x14ac:dyDescent="0.25">
      <c r="A34" s="19"/>
      <c r="B34" s="48" t="s">
        <v>6</v>
      </c>
      <c r="C34" s="151">
        <f>Vpre_Cout_ESR*(Vpre_Delta_IL^2/12)</f>
        <v>6.1226058369182795E-6</v>
      </c>
      <c r="D34" s="17"/>
      <c r="E34" s="48" t="s">
        <v>126</v>
      </c>
      <c r="F34" s="149">
        <f>(Vpre_HS_Output_Capacitance*Vpre_Frequency*Vsup^2)/2</f>
        <v>1.1390625000000001E-2</v>
      </c>
      <c r="G34" s="14"/>
      <c r="H34" s="48" t="s">
        <v>148</v>
      </c>
      <c r="I34" s="131">
        <f>(-((Vpre_Delta_IL*Vpre_Cout_ESR^2*Vpre_Cout)/Vpre_Ton)-(Vpre_Delta_IL/(2*Vpre_Cout*Vpre_Ton))*((Vpre_Ton/2)^2- (Vpre_Cout*Vpre_Cout_ESR)^2))*1000</f>
        <v>-0.63161392903490243</v>
      </c>
      <c r="J34" s="21"/>
      <c r="K34" s="24" t="s">
        <v>12</v>
      </c>
      <c r="L34" s="193">
        <f>IF(AND(Boost_mode="VPRE",Boost_enable="Disabled"),0,IF(AND(Conduction_MODE="CCM",(Boost_Input_Voltage-Boost_Vdiode)&lt;Boost_Output_Voltage),(1-Boost_Duty_Cycle)*Boost_Input_Current*Vdiode_redefined,Vdiode_redefined*Boost_Total_Output_Current))</f>
        <v>0.29725732032104907</v>
      </c>
      <c r="M34" s="18"/>
      <c r="N34" s="164"/>
      <c r="O34" s="164"/>
      <c r="P34" s="18"/>
      <c r="Q34" s="60" t="s">
        <v>194</v>
      </c>
      <c r="R34" s="57">
        <f>IF((Boost_Input_Voltage-Boost_Vdiode)&gt;=Boost_Output_Voltage,0,IF(Conduction_MODE="CCM",Boost_Input_Current-(Boost_Delta_IL/2),0))</f>
        <v>1.7260858110683734</v>
      </c>
      <c r="S34" s="21"/>
      <c r="T34" s="237"/>
      <c r="U34" s="239" t="s">
        <v>236</v>
      </c>
      <c r="V34" s="239"/>
      <c r="W34" s="239" t="s">
        <v>237</v>
      </c>
      <c r="X34" s="238"/>
      <c r="Y34" s="240">
        <v>1000</v>
      </c>
      <c r="Z34" s="220"/>
      <c r="AA34" s="220"/>
      <c r="AB34" s="220"/>
      <c r="AD34" s="24"/>
      <c r="AE34" s="193"/>
      <c r="AF34" s="203"/>
      <c r="AG34" s="203"/>
      <c r="AH34" s="203"/>
    </row>
    <row r="35" spans="1:34" ht="13.8" x14ac:dyDescent="0.25">
      <c r="A35" s="19"/>
      <c r="B35" s="48" t="s">
        <v>7</v>
      </c>
      <c r="C35" s="152">
        <f>Vpre_L_DCR*(Vpre_Total_Output_current^2+(Vpre_Delta_IL^2/12))</f>
        <v>1.7948160844800803E-2</v>
      </c>
      <c r="D35" s="17"/>
      <c r="E35" s="48" t="s">
        <v>135</v>
      </c>
      <c r="F35" s="149">
        <f>(Vpre_HS_Qg*Vpre_HS_drive_voltage*Vpre_Frequency)</f>
        <v>8.8312500000000006E-3</v>
      </c>
      <c r="G35" s="14"/>
      <c r="H35" s="48" t="s">
        <v>149</v>
      </c>
      <c r="I35" s="131">
        <f>((Vpre_Cout_ESR^2*Vpre_Cout*Vpre_Delta_IL/Vpre_Toff)+(Vpre_Delta_IL/(2*Vpre_Cout*Vpre_Toff))*((Vpre_Toff/2)^2-(Vpre_Cout_ESR*Vpre_Cout)^2))*1000</f>
        <v>1.3389506965320304</v>
      </c>
      <c r="J35" s="21"/>
      <c r="K35" s="24" t="s">
        <v>7</v>
      </c>
      <c r="L35" s="193">
        <f>IF(AND(Boost_mode="VPRE",Boost_enable="Disabled"),0,IF((Boost_Input_Voltage-Boost_Vdiode)&lt;Boost_Output_Voltage,IF(Conduction_MODE="CCM",Boost_L_DCR*(Boost_Input_Current^2*(1+(1/3)*(Boost_Delta_IL/Boost_Input_Current)^2)),Boost_L_DCR*Boost_Ipeak^2*(1/3)*(Boost_Duty_Cycle+t_2*Boost_Frequency)),Boost_L_DCR*Boost_Total_Output_Current^2))</f>
        <v>0.33389909340938362</v>
      </c>
      <c r="M35" s="18"/>
      <c r="N35" s="164"/>
      <c r="O35" s="164"/>
      <c r="P35" s="18"/>
      <c r="Q35" s="60"/>
      <c r="R35" s="131"/>
      <c r="S35" s="20"/>
      <c r="T35" s="237"/>
      <c r="U35" s="243" cm="1">
        <f t="array" ref="U35">SQRT(2*Boost_Total_Output_Current*(Boost_Vdiode+Boost_Output_Voltage-Boost_Input_Voltage)/(Boost_L*Boost_Frequency))</f>
        <v>2.0182978574622226</v>
      </c>
      <c r="V35" s="239"/>
      <c r="W35" s="243">
        <f>Boost_Total_Output_Current/(1-D_CCM) +delta_IL_CCM/2</f>
        <v>2.6730134150519493</v>
      </c>
      <c r="X35" s="238"/>
      <c r="Y35" s="237"/>
      <c r="Z35" s="220"/>
      <c r="AA35" s="220"/>
      <c r="AB35" s="220"/>
      <c r="AD35" s="24"/>
      <c r="AE35" s="193"/>
      <c r="AF35" s="203"/>
      <c r="AG35" s="203"/>
      <c r="AH35" s="203"/>
    </row>
    <row r="36" spans="1:34" ht="14.4" thickBot="1" x14ac:dyDescent="0.3">
      <c r="A36" s="19"/>
      <c r="B36" s="48"/>
      <c r="C36" s="179"/>
      <c r="D36" s="17"/>
      <c r="E36" s="48" t="s">
        <v>41</v>
      </c>
      <c r="F36" s="149">
        <f>(1-Vpre_Duty_Cycle)*Vpre_LS_Rdson*(Vpre_Total_Output_current^2+Vpre_Delta_IL^2/12)</f>
        <v>3.4648499315867387E-2</v>
      </c>
      <c r="G36" s="14"/>
      <c r="H36" s="48" t="s">
        <v>150</v>
      </c>
      <c r="I36" s="131">
        <f>1000*(Vpre_Vout_Max-Vpre_Vout_Min)</f>
        <v>1.9705646255669327</v>
      </c>
      <c r="J36" s="21"/>
      <c r="K36" s="24" t="s">
        <v>41</v>
      </c>
      <c r="L36" s="193">
        <f>IF(AND(Boost_mode="VPRE",Boost_enable="Disabled"),0,IF((Boost_Input_Voltage-Boost_Vdiode)&gt;=Boost_Output_Voltage,0,IF(Conduction_MODE="CCM",Boost_LS_RDSON*(1/3)*Boost_Duty_Cycle*(Boost_Ipeak^2+Boost_Ipeak*Boost_Ivalley+Boost_Ivalley^2),Boost_LS_RDSON*(1/3)*Boost_Ipeak^2*Boost_Duty_Cycle)))</f>
        <v>9.1348564189171047E-2</v>
      </c>
      <c r="M36" s="18"/>
      <c r="N36" s="24"/>
      <c r="O36" s="225"/>
      <c r="P36" s="18"/>
      <c r="Q36" s="48"/>
      <c r="R36" s="131"/>
      <c r="S36" s="21"/>
      <c r="T36" s="237"/>
      <c r="U36" s="242" t="s">
        <v>239</v>
      </c>
      <c r="V36" s="239"/>
      <c r="W36" s="242" t="s">
        <v>238</v>
      </c>
      <c r="X36" s="238"/>
      <c r="Y36" s="237" cm="1">
        <f t="array" ref="Y36">Boost_Frequency</f>
        <v>450000</v>
      </c>
      <c r="Z36" s="220"/>
      <c r="AA36" s="220"/>
      <c r="AB36" s="220"/>
      <c r="AD36" s="24"/>
      <c r="AE36" s="193"/>
      <c r="AF36" s="203"/>
      <c r="AG36" s="203"/>
      <c r="AH36" s="203"/>
    </row>
    <row r="37" spans="1:34" ht="14.4" thickBot="1" x14ac:dyDescent="0.3">
      <c r="A37" s="19"/>
      <c r="B37" s="48"/>
      <c r="C37" s="179"/>
      <c r="D37" s="17"/>
      <c r="E37" s="48" t="s">
        <v>42</v>
      </c>
      <c r="F37" s="149">
        <f>(Vpre_LS_Body_Diode_Voltage*Vpre_Total_Output_current/2)*(Vpre_LS_rise_Time+Vpre_LS_fall_Time)*Vpre_Frequency</f>
        <v>2.1085991781089448E-3</v>
      </c>
      <c r="G37" s="14"/>
      <c r="H37" s="48" t="s">
        <v>121</v>
      </c>
      <c r="I37" s="72" t="str">
        <f>"CCM"</f>
        <v>CCM</v>
      </c>
      <c r="J37" s="21"/>
      <c r="K37" s="24" t="s">
        <v>42</v>
      </c>
      <c r="L37" s="193">
        <f>IF(AND(Boost_mode="VPRE",Boost_enable="Disabled"),0,Boost_Frequency*(Boost_Output_Voltage+Boost_Vdiode)*Boost_Input_Current*Boost_SW_Rise_time)</f>
        <v>2.3076417654734036E-2</v>
      </c>
      <c r="M37" s="14"/>
      <c r="N37" s="60"/>
      <c r="O37" s="70"/>
      <c r="P37" s="18"/>
      <c r="Q37" s="60" t="s">
        <v>121</v>
      </c>
      <c r="R37" s="72" t="str">
        <f>IF(W37&lt;I_peak_CCM,"CCM","DCM")</f>
        <v>CCM</v>
      </c>
      <c r="S37" s="21"/>
      <c r="T37" s="237"/>
      <c r="U37" s="243">
        <f>I_peak_DCM</f>
        <v>2.0182978574622226</v>
      </c>
      <c r="V37" s="239"/>
      <c r="W37" s="243">
        <f>(D_CCM*Boost_Input_Voltage)/(Boost_L*Boost_Frequency)</f>
        <v>0.94692760398357612</v>
      </c>
      <c r="X37" s="238"/>
      <c r="Y37" s="237"/>
      <c r="Z37" s="210"/>
      <c r="AA37" s="220"/>
      <c r="AB37" s="220"/>
      <c r="AD37" s="24"/>
      <c r="AE37" s="193"/>
      <c r="AF37" s="203"/>
      <c r="AG37" s="203"/>
      <c r="AH37" s="203"/>
    </row>
    <row r="38" spans="1:34" x14ac:dyDescent="0.25">
      <c r="A38" s="20"/>
      <c r="B38" s="166"/>
      <c r="C38" s="17"/>
      <c r="D38" s="17"/>
      <c r="E38" s="48" t="s">
        <v>130</v>
      </c>
      <c r="F38" s="149">
        <f>(Vpre_LS_Output_Capacitance*Vpre_Frequency*Vsup^2)/2</f>
        <v>1.1390625000000001E-2</v>
      </c>
      <c r="G38" s="14"/>
      <c r="H38" s="147"/>
      <c r="I38" s="148"/>
      <c r="J38" s="20"/>
      <c r="K38" s="24" t="s">
        <v>195</v>
      </c>
      <c r="L38" s="193">
        <f>IF(AND(Boost_mode="VPRE",Boost_enable="Disabled"),0,IF((Boost_Input_Voltage-Boost_Vdiode)&gt;=Boost_Output_Voltage,0,IF(Conduction_MODE="CCM",Boost_Rsense*Boost_Duty_Cycle*(Boost_Ivalley^2+Boost_Delta_IL*Boost_Ivalley+(Boost_Delta_IL^2/3)),Boost_Rsense*Boost_Ipeak^2*(1/3)*Boost_Duty_Cycle)))</f>
        <v>3.8061901745487944E-2</v>
      </c>
      <c r="M38" s="14"/>
      <c r="O38" s="57"/>
      <c r="P38" s="18"/>
      <c r="S38" s="20"/>
      <c r="T38" s="237"/>
      <c r="U38" s="242" t="s">
        <v>241</v>
      </c>
      <c r="V38" s="239"/>
      <c r="W38" s="239" t="s">
        <v>240</v>
      </c>
      <c r="X38" s="238"/>
      <c r="Y38" s="237"/>
      <c r="Z38" s="220"/>
      <c r="AA38" s="220"/>
      <c r="AB38" s="220"/>
      <c r="AD38" s="24"/>
      <c r="AE38" s="193"/>
      <c r="AF38" s="203"/>
      <c r="AG38" s="203"/>
      <c r="AH38" s="203"/>
    </row>
    <row r="39" spans="1:34" x14ac:dyDescent="0.25">
      <c r="A39" s="19"/>
      <c r="B39" s="48" t="s">
        <v>9</v>
      </c>
      <c r="C39" s="152">
        <f>VPRE_PDIS_IC+VPRE_P_L+VPRE_P_COUT+VPRE_P_CIN</f>
        <v>0.40901058971760457</v>
      </c>
      <c r="D39" s="17"/>
      <c r="E39" s="48" t="s">
        <v>137</v>
      </c>
      <c r="F39" s="149">
        <f>(Vpre_LS_Qg*Vpre_LS_drive_voltage*Vpre_Frequency)</f>
        <v>1.125E-2</v>
      </c>
      <c r="G39" s="14"/>
      <c r="H39" s="147"/>
      <c r="I39" s="148"/>
      <c r="J39" s="25"/>
      <c r="K39" s="24" t="s">
        <v>9</v>
      </c>
      <c r="L39" s="193">
        <f>Boost_P_Cin+Boost_P_diode+Boost_P_L+Boost_P_LS_cond+Boost_P_LS_sw+Boost_P_Rsense+Boost_P_Cout</f>
        <v>0.78526773957744156</v>
      </c>
      <c r="M39" s="14"/>
      <c r="O39" s="57"/>
      <c r="P39" s="18"/>
      <c r="Q39" s="18"/>
      <c r="R39" s="18"/>
      <c r="S39" s="25"/>
      <c r="T39" s="237"/>
      <c r="U39" s="242">
        <f>(1/2)*I_peak_DCM*Boost_Frequency*t_2</f>
        <v>2.2381258439347311</v>
      </c>
      <c r="V39" s="239"/>
      <c r="W39" s="242">
        <f>Boost_Total_Output_Current/(1-D_CCM)</f>
        <v>2.1995496130601615</v>
      </c>
      <c r="X39" s="238"/>
      <c r="Y39" s="237"/>
      <c r="Z39" s="220"/>
      <c r="AA39" s="220"/>
      <c r="AB39" s="220"/>
      <c r="AD39" s="24"/>
      <c r="AE39" s="193"/>
      <c r="AF39" s="203"/>
      <c r="AG39" s="203"/>
      <c r="AH39" s="203"/>
    </row>
    <row r="40" spans="1:34" ht="13.8" thickBot="1" x14ac:dyDescent="0.3">
      <c r="A40" s="19"/>
      <c r="B40" s="48" t="s">
        <v>10</v>
      </c>
      <c r="C40" s="152">
        <f>IF(Vpre_SR="FAST",Vpre_P_HS_cond+Vpre_P_HS_sw+Vpre_P_HS_coss+Vpre_P_HS_g+Vpre_P_LS_cond+Vpre_P_LS_sw+Vpre_P_LS_coss+Vpre_P_LS_g+Vpre_P_dead_time+Vpre_P_qrr,Vpre_P_HS_cond+Vpre_P_HS_sw+Vpre_P_HS_coss+Vpre_P_HS_g+Vpre_P_LS_cond+Vpre_P_LS_sw+Vpre_P_LS_coss+Vpre_P_LS_g+Vpre_P_dead_time+Vpre_P_qrr)</f>
        <v>0.39011850244640972</v>
      </c>
      <c r="D40" s="17"/>
      <c r="E40" s="48" t="s">
        <v>134</v>
      </c>
      <c r="F40" s="149">
        <f>Vpre_Total_Output_current*Vpre_Frequency*Vpre_LS_Body_Diode_Voltage*(Vpre_Dead_time_falling+Vpre_Dead_time_rising)</f>
        <v>4.217198356217889E-2</v>
      </c>
      <c r="G40" s="14"/>
      <c r="H40" s="147"/>
      <c r="I40" s="148"/>
      <c r="J40" s="20"/>
      <c r="K40" s="24" t="s">
        <v>10</v>
      </c>
      <c r="L40" s="193">
        <f>Boost_Psl_s1_s2</f>
        <v>7.6499999999999997E-3</v>
      </c>
      <c r="M40" s="14"/>
      <c r="O40" s="76"/>
      <c r="P40" s="18"/>
      <c r="Q40" s="18"/>
      <c r="R40" s="18"/>
      <c r="S40" s="20"/>
      <c r="T40" s="244"/>
      <c r="U40" s="245" t="s">
        <v>340</v>
      </c>
      <c r="V40" s="246"/>
      <c r="W40" s="246" t="s">
        <v>242</v>
      </c>
      <c r="X40" s="238"/>
      <c r="Y40" s="237"/>
      <c r="Z40" s="220"/>
      <c r="AA40" s="220"/>
      <c r="AB40" s="220"/>
      <c r="AD40" s="24"/>
      <c r="AE40" s="193"/>
      <c r="AF40" s="203"/>
      <c r="AG40" s="203"/>
      <c r="AH40" s="203"/>
    </row>
    <row r="41" spans="1:34" ht="12.75" customHeight="1" x14ac:dyDescent="0.25">
      <c r="A41" s="19"/>
      <c r="B41" s="251" t="s">
        <v>223</v>
      </c>
      <c r="C41" s="260">
        <f>VPRE_Pout/(VPRE_Pout+VPRE_Pdis_tot)</f>
        <v>0.90827013908895315</v>
      </c>
      <c r="D41" s="14"/>
      <c r="E41" s="24" t="s">
        <v>212</v>
      </c>
      <c r="F41" s="149">
        <f>Vsup*Vpre_LS_QRR*Vpre_Frequency</f>
        <v>0.10124999999999999</v>
      </c>
      <c r="G41" s="14"/>
      <c r="H41" s="147"/>
      <c r="I41" s="148"/>
      <c r="J41" s="20"/>
      <c r="K41" s="270" t="s">
        <v>225</v>
      </c>
      <c r="L41" s="272">
        <f>IF(Boost_Pout&lt;&gt;0,Boost_Pout/(Boost_Pout+Boost_Pdis_tot),"NA")</f>
        <v>0.85025769626503078</v>
      </c>
      <c r="M41" s="18"/>
      <c r="N41" s="24"/>
      <c r="O41" s="77"/>
      <c r="P41" s="18"/>
      <c r="Q41" s="18"/>
      <c r="R41" s="18"/>
      <c r="S41" s="20"/>
      <c r="T41" s="237"/>
      <c r="U41" s="239">
        <f>D_DCM*(1/Boost_Frequency)-(L_coil*micro/Boost_L_DCR)*LN((Boost_Output_Voltage+Boost_Vdiode-Boost_Input_Voltage)/(Boost_L_DCR*I_peak_DCM-Boost_Input_Voltage+Boost_Output_Voltage+Boost_Vdiode))</f>
        <v>4.9285222873648302E-6</v>
      </c>
      <c r="V41" s="239"/>
      <c r="W41" s="239" cm="1">
        <f t="array" ref="W41">Boost_Duty_Cycle/Boost_Frequency</f>
        <v>1.7216865526974108E-6</v>
      </c>
      <c r="X41" s="238"/>
      <c r="Y41" s="237"/>
      <c r="Z41" s="220"/>
      <c r="AA41" s="220"/>
      <c r="AB41" s="220"/>
      <c r="AD41" s="203"/>
      <c r="AE41" s="203"/>
      <c r="AF41" s="203"/>
      <c r="AG41" s="203"/>
      <c r="AH41" s="203"/>
    </row>
    <row r="42" spans="1:34" ht="13.5" customHeight="1" thickBot="1" x14ac:dyDescent="0.3">
      <c r="A42" s="19"/>
      <c r="B42" s="252"/>
      <c r="C42" s="261"/>
      <c r="D42" s="14"/>
      <c r="E42" s="60"/>
      <c r="F42" s="76"/>
      <c r="G42" s="14"/>
      <c r="H42" s="147"/>
      <c r="I42" s="148"/>
      <c r="J42" s="20"/>
      <c r="K42" s="271"/>
      <c r="L42" s="273"/>
      <c r="S42" s="20"/>
      <c r="T42" s="247"/>
      <c r="U42" s="239" t="s">
        <v>339</v>
      </c>
      <c r="V42" s="239"/>
      <c r="W42" s="239"/>
      <c r="X42" s="238"/>
      <c r="Y42" s="237"/>
      <c r="Z42" s="210"/>
      <c r="AA42" s="203"/>
      <c r="AB42" s="203"/>
      <c r="AD42" s="203"/>
      <c r="AE42" s="203"/>
      <c r="AF42" s="203"/>
      <c r="AG42" s="203"/>
      <c r="AH42" s="203"/>
    </row>
    <row r="43" spans="1:34" ht="13.5" customHeight="1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20"/>
      <c r="K43" s="19"/>
      <c r="L43" s="19"/>
      <c r="M43" s="19"/>
      <c r="N43" s="19"/>
      <c r="O43" s="19"/>
      <c r="P43" s="19"/>
      <c r="Q43" s="19"/>
      <c r="R43" s="19"/>
      <c r="S43" s="19"/>
      <c r="T43" s="237"/>
      <c r="U43" s="248">
        <f>IF(Boost_Output_Voltage&gt;=10,Boost_Vdiode+0.2,Boost_Vdiode)</f>
        <v>0.6</v>
      </c>
      <c r="V43" s="239"/>
      <c r="W43" s="239"/>
      <c r="X43" s="238"/>
      <c r="Y43" s="237"/>
      <c r="Z43" s="210"/>
      <c r="AA43" s="203"/>
      <c r="AB43" s="203"/>
    </row>
    <row r="44" spans="1:34" ht="13.8" x14ac:dyDescent="0.25">
      <c r="A44" s="19"/>
      <c r="B44" s="257" t="s">
        <v>231</v>
      </c>
      <c r="C44" s="257"/>
      <c r="D44" s="257"/>
      <c r="E44" s="257"/>
      <c r="F44" s="257"/>
      <c r="G44" s="257"/>
      <c r="H44" s="257"/>
      <c r="I44" s="257"/>
      <c r="J44" s="20"/>
      <c r="K44" s="262" t="s">
        <v>228</v>
      </c>
      <c r="L44" s="263"/>
      <c r="M44" s="21"/>
      <c r="N44" s="262" t="s">
        <v>229</v>
      </c>
      <c r="O44" s="262"/>
      <c r="P44" s="22"/>
      <c r="Q44" s="262" t="s">
        <v>230</v>
      </c>
      <c r="R44" s="262"/>
      <c r="S44" s="22"/>
      <c r="T44" s="210"/>
      <c r="U44" s="203"/>
      <c r="V44" s="203"/>
      <c r="W44" s="210"/>
      <c r="X44" s="210"/>
      <c r="Y44" s="210"/>
      <c r="Z44" s="203"/>
      <c r="AA44" s="203"/>
      <c r="AB44" s="203"/>
    </row>
    <row r="45" spans="1:34" x14ac:dyDescent="0.25">
      <c r="A45" s="19"/>
      <c r="B45" s="19"/>
      <c r="C45" s="19"/>
      <c r="D45" s="19"/>
      <c r="E45" s="19"/>
      <c r="F45" s="19"/>
      <c r="G45" s="19"/>
      <c r="H45" s="19"/>
      <c r="I45" s="19"/>
      <c r="J45" s="20"/>
      <c r="K45" s="19"/>
      <c r="L45" s="19"/>
      <c r="M45" s="19"/>
      <c r="N45" s="20"/>
      <c r="O45" s="20"/>
      <c r="P45" s="20"/>
      <c r="Q45" s="20"/>
      <c r="R45" s="20"/>
      <c r="S45" s="20"/>
      <c r="T45" s="210"/>
      <c r="U45" s="203"/>
      <c r="V45" s="203"/>
      <c r="W45" s="210"/>
      <c r="X45" s="210"/>
      <c r="Y45" s="210"/>
      <c r="Z45" s="203"/>
      <c r="AA45" s="203"/>
      <c r="AB45" s="203"/>
    </row>
    <row r="46" spans="1:34" x14ac:dyDescent="0.25">
      <c r="A46" s="19"/>
      <c r="B46" s="253" t="s">
        <v>32</v>
      </c>
      <c r="C46" s="253"/>
      <c r="D46" s="19"/>
      <c r="E46" s="254" t="s">
        <v>35</v>
      </c>
      <c r="F46" s="254"/>
      <c r="G46" s="19"/>
      <c r="H46" s="255" t="s">
        <v>2</v>
      </c>
      <c r="I46" s="255"/>
      <c r="J46" s="20"/>
      <c r="K46" s="14"/>
      <c r="L46" s="14"/>
      <c r="M46" s="19"/>
      <c r="N46" s="14"/>
      <c r="O46" s="14"/>
      <c r="P46" s="19"/>
      <c r="Q46" s="14"/>
      <c r="R46" s="14"/>
      <c r="S46" s="19"/>
      <c r="T46" s="210"/>
      <c r="U46" s="203"/>
      <c r="V46" s="203"/>
      <c r="W46" s="210"/>
      <c r="X46" s="210"/>
      <c r="Y46" s="210"/>
      <c r="Z46" s="203"/>
      <c r="AA46" s="203"/>
      <c r="AB46" s="203"/>
    </row>
    <row r="47" spans="1:34" x14ac:dyDescent="0.25">
      <c r="A47" s="19"/>
      <c r="B47" s="155" t="s">
        <v>0</v>
      </c>
      <c r="C47" s="195">
        <v>10</v>
      </c>
      <c r="D47" s="19"/>
      <c r="E47" s="154" t="s">
        <v>365</v>
      </c>
      <c r="F47" s="127">
        <f>0.75*Tj+37.5</f>
        <v>127.5</v>
      </c>
      <c r="G47" s="19"/>
      <c r="H47" s="45" t="s">
        <v>353</v>
      </c>
      <c r="I47" s="180">
        <f>Vpre_output_voltage</f>
        <v>6.05</v>
      </c>
      <c r="J47" s="20"/>
      <c r="K47" s="47" t="s">
        <v>59</v>
      </c>
      <c r="L47" s="133">
        <f>IF(Vpre_output_voltage-Ldo1_Vout&gt;=0.35,Vpre_output_voltage,"Vpre too low")</f>
        <v>6.05</v>
      </c>
      <c r="M47" s="19"/>
      <c r="N47" s="47" t="s">
        <v>161</v>
      </c>
      <c r="O47" s="133">
        <f>IF(Vpre_output_voltage-Ldo2_Vout&gt;=0.35,Vpre_output_voltage,"Vpre too low")</f>
        <v>6.05</v>
      </c>
      <c r="P47" s="19"/>
      <c r="Q47" s="45" t="s">
        <v>163</v>
      </c>
      <c r="R47" s="133">
        <f>IF(Vpre_output_voltage-Vref_output_voltage&gt;=0.35,Vpre_output_voltage,"Vpre too low")</f>
        <v>6.05</v>
      </c>
      <c r="S47" s="19"/>
      <c r="T47" s="210"/>
      <c r="U47" s="211"/>
      <c r="V47" s="203"/>
      <c r="W47" s="210"/>
      <c r="X47" s="210"/>
      <c r="Y47" s="210"/>
      <c r="Z47" s="203"/>
      <c r="AA47" s="203"/>
      <c r="AB47" s="203"/>
    </row>
    <row r="48" spans="1:34" x14ac:dyDescent="0.25">
      <c r="A48" s="19"/>
      <c r="B48" s="155" t="s">
        <v>16</v>
      </c>
      <c r="C48" s="196">
        <v>10</v>
      </c>
      <c r="D48" s="19"/>
      <c r="E48" s="154" t="s">
        <v>33</v>
      </c>
      <c r="F48" s="117">
        <v>1.2</v>
      </c>
      <c r="G48" s="19"/>
      <c r="H48" s="45" t="s">
        <v>177</v>
      </c>
      <c r="I48" s="194">
        <f>IF(Vcore_Output_current=0,0,(Vcore_Pout/(Vcore_input_voltage*Vcore_Eff)))</f>
        <v>0.52623531447902994</v>
      </c>
      <c r="J48" s="20"/>
      <c r="K48" s="45" t="s">
        <v>57</v>
      </c>
      <c r="L48" s="1">
        <v>5</v>
      </c>
      <c r="M48" s="19"/>
      <c r="N48" s="45" t="s">
        <v>58</v>
      </c>
      <c r="O48" s="1">
        <v>5</v>
      </c>
      <c r="P48" s="19"/>
      <c r="Q48" s="45" t="s">
        <v>156</v>
      </c>
      <c r="R48" s="1">
        <v>5</v>
      </c>
      <c r="S48" s="19"/>
      <c r="T48" s="212"/>
      <c r="U48" s="203"/>
      <c r="V48" s="203"/>
      <c r="W48" s="210"/>
      <c r="X48" s="210"/>
      <c r="Y48" s="210"/>
      <c r="Z48" s="203"/>
      <c r="AA48" s="203"/>
      <c r="AB48" s="203"/>
    </row>
    <row r="49" spans="1:28" x14ac:dyDescent="0.25">
      <c r="A49" s="19"/>
      <c r="B49" s="155" t="s">
        <v>1</v>
      </c>
      <c r="C49" s="195">
        <v>40</v>
      </c>
      <c r="D49" s="19"/>
      <c r="E49" s="154" t="s">
        <v>119</v>
      </c>
      <c r="F49" s="205">
        <f>IF($C$54="Rise = 4V/ns; Fall = 0.6V/ns",Vcore_input_voltage/4,IF($C$54="Rise = 4.5V/ns; Fall = 1.2V/ns",Vcore_input_voltage/4.5,IF($C$54="Rise = 5V/ns; Fall = 2.2V/ns",Vcore_input_voltage/5,Vcore_input_voltage/$C$55)))</f>
        <v>1.21</v>
      </c>
      <c r="G49" s="19"/>
      <c r="H49" s="45" t="s">
        <v>191</v>
      </c>
      <c r="I49" s="1">
        <v>1.5</v>
      </c>
      <c r="J49" s="20"/>
      <c r="K49" s="45" t="s">
        <v>60</v>
      </c>
      <c r="L49" s="135">
        <v>50</v>
      </c>
      <c r="M49" s="19"/>
      <c r="N49" s="47" t="s">
        <v>61</v>
      </c>
      <c r="O49" s="135">
        <v>50</v>
      </c>
      <c r="P49" s="19"/>
      <c r="Q49" s="47" t="s">
        <v>162</v>
      </c>
      <c r="R49" s="135">
        <v>5</v>
      </c>
      <c r="S49" s="19"/>
      <c r="T49" s="212"/>
      <c r="U49" s="203"/>
      <c r="V49" s="203"/>
      <c r="W49" s="210"/>
      <c r="X49" s="210"/>
      <c r="Y49" s="210"/>
      <c r="Z49" s="203"/>
      <c r="AA49" s="203"/>
      <c r="AB49" s="203"/>
    </row>
    <row r="50" spans="1:28" x14ac:dyDescent="0.25">
      <c r="A50" s="19"/>
      <c r="B50" s="155" t="s">
        <v>17</v>
      </c>
      <c r="C50" s="196">
        <v>10</v>
      </c>
      <c r="D50" s="19"/>
      <c r="E50" s="154" t="s">
        <v>120</v>
      </c>
      <c r="F50" s="205">
        <f>IF($C$54="Rise = 4V/ns; Fall = 0.6V/ns",Vcore_input_voltage/0.6,IF($C$54="Rise = 4.5V/ns; Fall = 1.2V/ns",Vcore_input_voltage/1.2,IF($C$54="Rise = 5V/ns; Fall = 2.2V/ns",Vcore_input_voltage/2.2,Vcore_input_voltage/$C$56)))</f>
        <v>2.7499999999999996</v>
      </c>
      <c r="G50" s="19"/>
      <c r="H50" s="62" t="s">
        <v>192</v>
      </c>
      <c r="I50" s="2">
        <v>1.65</v>
      </c>
      <c r="J50" s="20"/>
      <c r="K50" s="14"/>
      <c r="L50" s="58" t="str">
        <f>"( ≤ "&amp;1000*ROUND(Ldo1_Imax,3)&amp;" mA )"</f>
        <v>( ≤ 400 mA )</v>
      </c>
      <c r="M50" s="19"/>
      <c r="N50" s="14"/>
      <c r="O50" s="55" t="str">
        <f>"( ≤ "&amp;1000*ROUND(Ldo2_Imax,3)&amp;" mA )"</f>
        <v>( ≤ 400 mA )</v>
      </c>
      <c r="P50" s="19"/>
      <c r="Q50" s="14"/>
      <c r="R50" s="55" t="str">
        <f>"( ≤ "&amp;1000*ROUND(Vref_Imax,2)&amp;" mA )"</f>
        <v>( ≤ 30 mA )</v>
      </c>
      <c r="S50" s="19"/>
      <c r="T50" s="212"/>
      <c r="U50" s="203"/>
      <c r="V50" s="203"/>
      <c r="W50" s="210"/>
      <c r="X50" s="210"/>
      <c r="Y50" s="210"/>
      <c r="Z50" s="203"/>
      <c r="AA50" s="203"/>
      <c r="AB50" s="203"/>
    </row>
    <row r="51" spans="1:28" x14ac:dyDescent="0.25">
      <c r="A51" s="19"/>
      <c r="B51" s="155" t="s">
        <v>18</v>
      </c>
      <c r="C51" s="197">
        <v>0.47</v>
      </c>
      <c r="D51" s="19"/>
      <c r="E51" s="154" t="s">
        <v>139</v>
      </c>
      <c r="F51" s="125">
        <v>5</v>
      </c>
      <c r="G51" s="19"/>
      <c r="I51" s="58" t="str">
        <f>"( ≤ "&amp;Vcore_Imax&amp;" A )"</f>
        <v>( ≤ 1.65 A )</v>
      </c>
      <c r="J51" s="20"/>
      <c r="K51" s="20"/>
      <c r="L51" s="20"/>
      <c r="M51" s="20"/>
      <c r="N51" s="20"/>
      <c r="O51" s="20"/>
      <c r="P51" s="20"/>
      <c r="Q51" s="231" t="s">
        <v>358</v>
      </c>
      <c r="R51" s="232">
        <f>IF(R49&gt;0,0.8,0)</f>
        <v>0.8</v>
      </c>
      <c r="S51" s="20"/>
      <c r="T51" s="212"/>
      <c r="U51" s="203"/>
      <c r="V51" s="203"/>
      <c r="W51" s="210"/>
      <c r="X51" s="210"/>
      <c r="Y51" s="210"/>
      <c r="Z51" s="203"/>
      <c r="AA51" s="203"/>
      <c r="AB51" s="203"/>
    </row>
    <row r="52" spans="1:28" x14ac:dyDescent="0.25">
      <c r="A52" s="19"/>
      <c r="B52" s="155" t="s">
        <v>19</v>
      </c>
      <c r="C52" s="196">
        <v>20</v>
      </c>
      <c r="D52" s="19"/>
      <c r="E52" s="154" t="s">
        <v>127</v>
      </c>
      <c r="F52" s="175">
        <v>50</v>
      </c>
      <c r="G52" s="19"/>
      <c r="H52" s="45"/>
      <c r="I52" s="161"/>
      <c r="J52" s="20"/>
      <c r="K52" s="62" t="s">
        <v>8</v>
      </c>
      <c r="L52" s="63">
        <f>IF(Ldo1_Iout&lt;Ldo1_Imax,Ldo1_Iout*Ldo1_Vout,"Current Limit")</f>
        <v>0.25</v>
      </c>
      <c r="M52" s="20"/>
      <c r="N52" s="62" t="s">
        <v>8</v>
      </c>
      <c r="O52" s="63">
        <f>IF(Ldo2_Iout&lt;Ldo2_Imax,Ldo2_Iout*Ldo2_Vout,"Current Limit")</f>
        <v>0.25</v>
      </c>
      <c r="P52" s="19"/>
      <c r="Q52" s="62" t="s">
        <v>8</v>
      </c>
      <c r="R52" s="63">
        <f>IF(Vref_output_current&lt;Vref_Imax,Vref_output_current*Vref_output_voltage,"Current Limit")</f>
        <v>2.5000000000000001E-2</v>
      </c>
      <c r="S52" s="19"/>
      <c r="T52" s="210"/>
      <c r="U52" s="203"/>
      <c r="V52" s="203"/>
      <c r="W52" s="210"/>
      <c r="X52" s="210"/>
      <c r="Y52" s="210"/>
      <c r="Z52" s="203"/>
      <c r="AA52" s="203"/>
      <c r="AB52" s="203"/>
    </row>
    <row r="53" spans="1:28" x14ac:dyDescent="0.25">
      <c r="A53" s="19"/>
      <c r="B53" s="155"/>
      <c r="C53" s="53"/>
      <c r="D53" s="19"/>
      <c r="E53" s="176"/>
      <c r="G53" s="19"/>
      <c r="J53" s="20"/>
      <c r="K53" s="62" t="s">
        <v>10</v>
      </c>
      <c r="L53" s="49">
        <f>IF(Ldo1_Iout&lt;Ldo1_Imax,(Ldo1_Vin-Ldo1_Vout)*Ldo1_Iout,"Current Limit")</f>
        <v>5.2499999999999991E-2</v>
      </c>
      <c r="M53" s="20"/>
      <c r="N53" s="62" t="s">
        <v>10</v>
      </c>
      <c r="O53" s="49">
        <f>IF(Ldo2_Iout&lt;Ldo2_Imax,(Ldo2_Vin-Ldo2_Vout)*Ldo2_Iout,"Current Limit")</f>
        <v>5.2499999999999991E-2</v>
      </c>
      <c r="P53" s="19"/>
      <c r="Q53" s="62" t="s">
        <v>10</v>
      </c>
      <c r="R53" s="49">
        <f>IF(Vref_output_current&lt;Vref_Imax,(VREF_in-Vref_output_voltage)*Vref_output_current,"Current Limit")</f>
        <v>5.2499999999999995E-3</v>
      </c>
      <c r="S53" s="19"/>
      <c r="T53" s="210"/>
      <c r="U53" s="203"/>
      <c r="V53" s="203"/>
      <c r="W53" s="203"/>
      <c r="X53" s="203"/>
      <c r="Y53" s="203"/>
      <c r="Z53" s="203"/>
      <c r="AA53" s="203"/>
      <c r="AB53" s="203"/>
    </row>
    <row r="54" spans="1:28" x14ac:dyDescent="0.25">
      <c r="A54" s="19"/>
      <c r="B54" s="157" t="s">
        <v>220</v>
      </c>
      <c r="C54" s="1" t="s">
        <v>245</v>
      </c>
      <c r="D54" s="19"/>
      <c r="E54" s="18" t="s">
        <v>366</v>
      </c>
      <c r="F54" s="127">
        <f>0.75*Tj+37.5</f>
        <v>127.5</v>
      </c>
      <c r="G54" s="19"/>
      <c r="J54" s="20"/>
      <c r="K54" s="20"/>
      <c r="L54" s="20"/>
      <c r="M54" s="20"/>
      <c r="N54" s="20"/>
      <c r="O54" s="20"/>
      <c r="P54" s="19"/>
      <c r="Q54" s="20"/>
      <c r="R54" s="20"/>
      <c r="S54" s="19"/>
      <c r="T54" s="210"/>
      <c r="U54" s="203"/>
      <c r="V54" s="203"/>
      <c r="W54" s="203"/>
      <c r="X54" s="203"/>
      <c r="Y54" s="203"/>
      <c r="Z54" s="203"/>
      <c r="AA54" s="203"/>
      <c r="AB54" s="203"/>
    </row>
    <row r="55" spans="1:28" ht="15" customHeight="1" x14ac:dyDescent="0.25">
      <c r="A55" s="19"/>
      <c r="B55" s="157"/>
      <c r="C55" s="176"/>
      <c r="D55" s="19"/>
      <c r="E55" s="18" t="s">
        <v>34</v>
      </c>
      <c r="F55" s="51">
        <v>0.7</v>
      </c>
      <c r="G55" s="19"/>
      <c r="H55" s="45" t="s">
        <v>4</v>
      </c>
      <c r="I55" s="159">
        <v>2250</v>
      </c>
      <c r="J55" s="20"/>
      <c r="K55" s="263" t="s">
        <v>167</v>
      </c>
      <c r="L55" s="263"/>
      <c r="M55" s="263"/>
      <c r="N55" s="263"/>
      <c r="O55" s="263"/>
      <c r="P55" s="22"/>
      <c r="T55" s="203"/>
      <c r="U55" s="203"/>
      <c r="V55" s="203"/>
      <c r="W55" s="203"/>
      <c r="X55" s="203"/>
      <c r="Y55" s="203"/>
      <c r="Z55" s="203"/>
      <c r="AA55" s="203"/>
      <c r="AB55" s="203"/>
    </row>
    <row r="56" spans="1:28" x14ac:dyDescent="0.25">
      <c r="A56" s="19"/>
      <c r="B56" s="176"/>
      <c r="C56" s="176"/>
      <c r="D56" s="19"/>
      <c r="E56" s="18" t="s">
        <v>122</v>
      </c>
      <c r="F56" s="205">
        <f>IF($C$54="Rise = 4V/ns; Fall = 0.6V/ns",Vcore_input_voltage/4,IF($C$54="Rise = 4.5V/ns; Fall = 1.2V/ns",Vcore_input_voltage/4.5,IF($C$54="Rise = 5V/ns; Fall = 2.2V/ns",Vcore_input_voltage/5,Vcore_input_voltage/$C$55)))</f>
        <v>1.21</v>
      </c>
      <c r="G56" s="19"/>
      <c r="H56" s="62" t="s">
        <v>153</v>
      </c>
      <c r="I56" s="173">
        <f>1000000/Vcore_Frequency</f>
        <v>0.44444444444444442</v>
      </c>
      <c r="J56" s="20"/>
      <c r="K56" s="209" t="s">
        <v>172</v>
      </c>
      <c r="L56" s="209"/>
      <c r="M56" s="209"/>
      <c r="N56" s="209"/>
      <c r="O56" s="1">
        <v>3.3</v>
      </c>
      <c r="P56" s="20"/>
      <c r="U56" s="163"/>
    </row>
    <row r="57" spans="1:28" x14ac:dyDescent="0.25">
      <c r="A57" s="19"/>
      <c r="B57" s="176"/>
      <c r="C57" s="176"/>
      <c r="D57" s="19"/>
      <c r="E57" s="18" t="s">
        <v>221</v>
      </c>
      <c r="F57" s="205">
        <f>IF($C$54="Rise = 4V/ns; Fall = 0.6V/ns",Vcore_input_voltage/0.6,IF($C$54="Rise = 4.5V/ns; Fall = 1.2V/ns",Vcore_input_voltage/1.2,IF($C$54="Rise = 5V/ns; Fall = 2.2V/ns",Vcore_input_voltage/2.2,Vcore_input_voltage/$C$56)))</f>
        <v>2.7499999999999996</v>
      </c>
      <c r="G57" s="19"/>
      <c r="H57" s="62" t="s">
        <v>151</v>
      </c>
      <c r="I57" s="173">
        <f>1000000*Vcore_Period*Vcore_Duty_Cycle</f>
        <v>0.1280716253443526</v>
      </c>
      <c r="J57" s="20"/>
      <c r="K57" s="20"/>
      <c r="L57" s="20"/>
      <c r="M57" s="20"/>
      <c r="N57" s="20"/>
      <c r="O57" s="20"/>
      <c r="P57" s="19"/>
      <c r="U57" s="165"/>
    </row>
    <row r="58" spans="1:28" ht="13.8" x14ac:dyDescent="0.25">
      <c r="A58" s="19"/>
      <c r="B58" s="176"/>
      <c r="C58" s="176"/>
      <c r="D58" s="19"/>
      <c r="E58" s="18" t="s">
        <v>124</v>
      </c>
      <c r="F58" s="124">
        <v>0.8</v>
      </c>
      <c r="G58" s="19"/>
      <c r="H58" s="62" t="s">
        <v>152</v>
      </c>
      <c r="I58" s="173">
        <f>1000000*Vcore_Period*(1-Vcore_Duty_Cycle)</f>
        <v>0.3163728191000918</v>
      </c>
      <c r="J58" s="20"/>
      <c r="K58" s="262" t="s">
        <v>105</v>
      </c>
      <c r="L58" s="263"/>
      <c r="M58" s="21"/>
      <c r="N58" s="262" t="s">
        <v>106</v>
      </c>
      <c r="O58" s="262"/>
      <c r="P58" s="19"/>
      <c r="U58" s="163"/>
      <c r="W58" s="167"/>
    </row>
    <row r="59" spans="1:28" x14ac:dyDescent="0.25">
      <c r="A59" s="19"/>
      <c r="B59" s="176"/>
      <c r="C59" s="176"/>
      <c r="D59" s="19"/>
      <c r="E59" s="154" t="s">
        <v>140</v>
      </c>
      <c r="F59" s="125">
        <v>5</v>
      </c>
      <c r="G59" s="19"/>
      <c r="H59" s="128" t="s">
        <v>132</v>
      </c>
      <c r="I59" s="206">
        <f>IF($C$54="Rise = 5V/ns; Fall = 2.2V/ns",25,IF($C$54="Rise = 4V/ns; Fall = 0.6V/ns",40,IF($C$54="Rise = 4.5V/ns; Fall = 1.2V/ns",30,$C$59)))</f>
        <v>25</v>
      </c>
      <c r="J59" s="20"/>
      <c r="K59" s="19"/>
      <c r="L59" s="19"/>
      <c r="M59" s="19"/>
      <c r="N59" s="20"/>
      <c r="O59" s="20"/>
      <c r="P59" s="19"/>
      <c r="R59" s="174"/>
    </row>
    <row r="60" spans="1:28" x14ac:dyDescent="0.25">
      <c r="A60" s="19"/>
      <c r="B60" s="176"/>
      <c r="C60" s="176"/>
      <c r="D60" s="19"/>
      <c r="E60" s="154" t="s">
        <v>128</v>
      </c>
      <c r="F60" s="175">
        <v>50</v>
      </c>
      <c r="G60" s="19"/>
      <c r="H60" s="128" t="s">
        <v>133</v>
      </c>
      <c r="I60" s="206">
        <f>IF($C$54="Rise = 5V/ns; Fall = 2.2V/ns",25,IF($C$54="Rise = 4V/ns; Fall = 0.6V/ns",40,IF($C$54="Rise = 4.5V/ns; Fall = 1.2V/ns",30,$C$59)))</f>
        <v>25</v>
      </c>
      <c r="J60" s="20"/>
      <c r="K60" s="14"/>
      <c r="L60" s="14"/>
      <c r="M60" s="19"/>
      <c r="N60" s="14"/>
      <c r="O60" s="14"/>
      <c r="P60" s="19"/>
    </row>
    <row r="61" spans="1:28" x14ac:dyDescent="0.25">
      <c r="A61" s="19"/>
      <c r="B61" s="176"/>
      <c r="C61" s="176"/>
      <c r="D61" s="19"/>
      <c r="E61" s="154" t="s">
        <v>211</v>
      </c>
      <c r="F61" s="51">
        <v>4</v>
      </c>
      <c r="G61" s="19"/>
      <c r="H61" s="128"/>
      <c r="I61" s="129"/>
      <c r="J61" s="20"/>
      <c r="K61" s="47" t="s">
        <v>157</v>
      </c>
      <c r="L61" s="133">
        <f>IF(Vpre_output_voltage-Trk1_Vout&gt;=0.35,Vpre_output_voltage,"Vpre too low")</f>
        <v>6.05</v>
      </c>
      <c r="M61" s="19"/>
      <c r="N61" s="47" t="s">
        <v>159</v>
      </c>
      <c r="O61" s="133">
        <f>IF(Vpre_output_voltage-Trk2_Vout&gt;=0.35,Vpre_output_voltage,"Vpre too low")</f>
        <v>6.05</v>
      </c>
      <c r="P61" s="19"/>
    </row>
    <row r="62" spans="1:28" x14ac:dyDescent="0.25">
      <c r="A62" s="19"/>
      <c r="B62" s="20"/>
      <c r="C62" s="20"/>
      <c r="D62" s="20"/>
      <c r="E62" s="20"/>
      <c r="F62" s="20"/>
      <c r="G62" s="20"/>
      <c r="H62" s="20"/>
      <c r="I62" s="20"/>
      <c r="J62" s="20"/>
      <c r="K62" s="47" t="s">
        <v>170</v>
      </c>
      <c r="L62" s="12" t="s">
        <v>58</v>
      </c>
      <c r="M62" s="19"/>
      <c r="N62" s="47" t="s">
        <v>175</v>
      </c>
      <c r="O62" s="12" t="s">
        <v>58</v>
      </c>
      <c r="P62" s="19"/>
      <c r="U62" s="170"/>
    </row>
    <row r="63" spans="1:28" x14ac:dyDescent="0.25">
      <c r="A63" s="19"/>
      <c r="B63" s="48" t="s">
        <v>8</v>
      </c>
      <c r="C63" s="150">
        <f>Vcore_output_voltage*Vcore_Total_Output_current</f>
        <v>2.4749999999999996</v>
      </c>
      <c r="D63" s="17"/>
      <c r="E63" s="166"/>
      <c r="F63" s="166"/>
      <c r="G63" s="17"/>
      <c r="H63" s="48" t="s">
        <v>14</v>
      </c>
      <c r="I63" s="50">
        <f>(Vcore_output_voltage+Vcore_Output_current*(Vcore_LS_Rdson+Vcore_L_DCR))/(Vcore_input_voltage-Vcore_Output_current*(Vcore_HS_Rdson-Vcore_LS_Rdson))</f>
        <v>0.28816115702479339</v>
      </c>
      <c r="J63" s="20"/>
      <c r="K63" s="45" t="s">
        <v>105</v>
      </c>
      <c r="L63" s="53">
        <f>IF(TRK1_REF="VREF",Vref_output_voltage,IF(TRK1_REF="LDO2",Ldo2_Vout,IF(TRK1_REF="Internal LDO Ref",Ldoref_Vout)))</f>
        <v>5</v>
      </c>
      <c r="M63" s="19"/>
      <c r="N63" s="45" t="s">
        <v>106</v>
      </c>
      <c r="O63" s="53">
        <f>IF(TRK2_REF="VREF",Vref_output_voltage,IF(TRK2_REF="LDO2",Ldo2_Vout,IF(TRK2_REF="Internal LDO Ref",Ldoref_Vout)))</f>
        <v>5</v>
      </c>
      <c r="P63" s="20"/>
    </row>
    <row r="64" spans="1:28" x14ac:dyDescent="0.25">
      <c r="A64" s="19"/>
      <c r="B64" s="17"/>
      <c r="C64" s="17"/>
      <c r="D64" s="17"/>
      <c r="E64" s="48" t="s">
        <v>39</v>
      </c>
      <c r="F64" s="152">
        <f>Vcore_Duty_Cycle*Vcore_HS_Rdson*(Vcore_Total_Output_current^2+Vcore_Delta_IL^2/12)</f>
        <v>0.10524347838840691</v>
      </c>
      <c r="G64" s="17"/>
      <c r="H64" s="153" t="s">
        <v>11</v>
      </c>
      <c r="I64" s="141">
        <f>Vcore_Duty_Cycle*(Vcore_input_voltage-Vcore_output_voltage-Vcore_Output_current*(_xlfn.SINGLE(Vcore_HS_Rdson)+_xlfn.SINGLE(Vcore_L_DCR)))/_xlfn.SINGLE(Vcore_L)/_xlfn.SINGLE(Vcore_Frequency)/(1-0.3*_xlfn.SINGLE(Vcore_Output_current)/4.9)</f>
        <v>1.3053960302090228</v>
      </c>
      <c r="J64" s="20"/>
      <c r="K64" s="167" t="s">
        <v>364</v>
      </c>
      <c r="L64" s="172">
        <v>0.15</v>
      </c>
      <c r="M64" s="19"/>
      <c r="N64" s="167" t="s">
        <v>364</v>
      </c>
      <c r="O64" s="172">
        <v>0.15</v>
      </c>
      <c r="P64" s="19"/>
    </row>
    <row r="65" spans="1:23" x14ac:dyDescent="0.25">
      <c r="A65" s="19"/>
      <c r="B65" s="48" t="s">
        <v>5</v>
      </c>
      <c r="C65" s="151">
        <f>Vcore_Cin_ESR*(Vcore_Duty_Cycle*(1-Vcore_Duty_Cycle)*Vcore_Total_Output_current^2+(Vcore_Duty_Cycle*Vcore_Delta_IL^2/12))</f>
        <v>5.9937121547593902E-3</v>
      </c>
      <c r="D65" s="17"/>
      <c r="E65" s="48" t="s">
        <v>40</v>
      </c>
      <c r="F65" s="152">
        <f>(Vcore_input_voltage*Vcore_Total_Output_current/2)*(Vcore_HS_Rise_Time+Vcore_HS_Fall_Time)*Vcore_Frequency</f>
        <v>4.4472037499999992E-2</v>
      </c>
      <c r="G65" s="17"/>
      <c r="H65" s="48" t="s">
        <v>3</v>
      </c>
      <c r="I65" s="57">
        <f>Vcore_Total_Output_current+Vcore_Delta_IL/2</f>
        <v>2.3026980151045113</v>
      </c>
      <c r="J65" s="20"/>
      <c r="K65" s="45" t="s">
        <v>158</v>
      </c>
      <c r="L65" s="3">
        <v>10</v>
      </c>
      <c r="M65" s="20"/>
      <c r="N65" s="45" t="s">
        <v>160</v>
      </c>
      <c r="O65" s="3">
        <v>10</v>
      </c>
      <c r="P65" s="19"/>
      <c r="U65" s="170"/>
    </row>
    <row r="66" spans="1:23" x14ac:dyDescent="0.25">
      <c r="A66" s="19"/>
      <c r="B66" s="48" t="s">
        <v>6</v>
      </c>
      <c r="C66" s="151">
        <f>Vcore_Cout_ESR*(Vcore_Delta_IL^2/12)</f>
        <v>1.4200489964045634E-3</v>
      </c>
      <c r="D66" s="17"/>
      <c r="E66" s="48" t="s">
        <v>126</v>
      </c>
      <c r="F66" s="152">
        <f>(Vcore_HS_Output_Capacitance*Vcore_Frequency*Vcore_input_voltage^2)/2</f>
        <v>2.058890625E-3</v>
      </c>
      <c r="G66" s="17"/>
      <c r="H66" s="48" t="s">
        <v>148</v>
      </c>
      <c r="I66" s="131">
        <f>(-((Vcore_Delta_IL*Vcore_Cout_ESR^2*Vcore_Cout)/Vcore_Ton)-((Vcore_Delta_IL/(2*Vcore_Cout*Vcore_Ton))*((Vcore_Ton/2)^2- (Vcore_Cout*Vcore_Cout_ESR)^2)))*1000</f>
        <v>-20.907856447086722</v>
      </c>
      <c r="J66" s="20"/>
      <c r="K66" s="14"/>
      <c r="L66" s="55" t="str">
        <f>"( ≤ "&amp;Trk1_Imax&amp;" mA )"</f>
        <v>( ≤ 150 mA )</v>
      </c>
      <c r="M66" s="20"/>
      <c r="N66" s="14"/>
      <c r="O66" s="55" t="str">
        <f>"( ≤ "&amp;Trk2_Imax&amp;" mA )"</f>
        <v>( ≤ 150 mA )</v>
      </c>
      <c r="P66" s="19"/>
      <c r="U66" s="163"/>
    </row>
    <row r="67" spans="1:23" x14ac:dyDescent="0.25">
      <c r="A67" s="19"/>
      <c r="B67" s="48" t="s">
        <v>7</v>
      </c>
      <c r="C67" s="152">
        <f>Vcore_L_DCR*(Vcore_Output_current^2+(Vcore_Delta_IL^2/12))</f>
        <v>5.7290097992809125E-2</v>
      </c>
      <c r="D67" s="17"/>
      <c r="E67" s="48" t="s">
        <v>135</v>
      </c>
      <c r="F67" s="152">
        <f>(Vcore_HS_Qg*Vcore_HS_drive_voltage*Vcore_Frequency)</f>
        <v>1.35E-2</v>
      </c>
      <c r="G67" s="17"/>
      <c r="H67" s="48" t="s">
        <v>149</v>
      </c>
      <c r="I67" s="131">
        <f>((Vcore_Cout_ESR^2*Vcore_Cout*Vcore_Delta_IL/Vcore_Toff)+(Vcore_Delta_IL/(2*Vcore_Cout*Vcore_Toff))*((Vcore_Toff/2)^2-(Vcore_Cout_ESR*Vcore_Cout)^2))*1000</f>
        <v>9.5428635540559075</v>
      </c>
      <c r="J67" s="20"/>
      <c r="K67" s="231" t="s">
        <v>359</v>
      </c>
      <c r="L67" s="232">
        <f>IF(L65&gt;0,0.25,0)</f>
        <v>0.25</v>
      </c>
      <c r="M67" s="20"/>
      <c r="N67" s="231" t="s">
        <v>360</v>
      </c>
      <c r="O67" s="232">
        <f>IF(O65&gt;0,0.25,0)</f>
        <v>0.25</v>
      </c>
      <c r="P67" s="19"/>
      <c r="Q67" s="164"/>
      <c r="R67" s="164"/>
      <c r="U67" s="165"/>
    </row>
    <row r="68" spans="1:23" ht="13.8" thickBot="1" x14ac:dyDescent="0.3">
      <c r="A68" s="19"/>
      <c r="B68" s="166"/>
      <c r="C68" s="166"/>
      <c r="D68" s="17"/>
      <c r="E68" s="48" t="s">
        <v>41</v>
      </c>
      <c r="F68" s="152">
        <f>(1-Vcore_Duty_Cycle)*Vcore_LS_Rdson*(Vcore_Total_Output_current^2+Vcore_Delta_IL^2/12)</f>
        <v>0.25998089631575128</v>
      </c>
      <c r="G68" s="17"/>
      <c r="H68" s="48" t="s">
        <v>150</v>
      </c>
      <c r="I68" s="131">
        <f>1000*(Vcore_Vout_Max-Vcore_Vout_Min)</f>
        <v>30.450720001142628</v>
      </c>
      <c r="J68" s="20"/>
      <c r="K68" s="62" t="s">
        <v>8</v>
      </c>
      <c r="L68" s="63">
        <f>Trk1_Iout*Trk1_Vout</f>
        <v>0.05</v>
      </c>
      <c r="M68" s="20"/>
      <c r="N68" s="62" t="s">
        <v>8</v>
      </c>
      <c r="O68" s="63">
        <f>Trk2_Iout*Trk2_Vout</f>
        <v>0.05</v>
      </c>
      <c r="P68" s="19"/>
      <c r="Q68" s="164"/>
      <c r="R68" s="164"/>
      <c r="U68" s="165"/>
      <c r="W68" s="167"/>
    </row>
    <row r="69" spans="1:23" ht="13.8" thickBot="1" x14ac:dyDescent="0.3">
      <c r="A69" s="19"/>
      <c r="B69" s="166"/>
      <c r="C69" s="166"/>
      <c r="D69" s="17"/>
      <c r="E69" s="48" t="s">
        <v>42</v>
      </c>
      <c r="F69" s="152">
        <f>(Vcore_LS_Body_Diode_Voltage*Vcore_Total_Output_current/2)*(Vcore_LS_Rise_Time+Vcore_LS_Fall_Time)*Vcore_Frequency</f>
        <v>5.8805999999999997E-3</v>
      </c>
      <c r="G69" s="17"/>
      <c r="H69" s="48" t="s">
        <v>121</v>
      </c>
      <c r="I69" s="72" t="str">
        <f>IF(Vcore_Total_Output_current&gt;Vcore_Delta_IL/2,"CCM","DCM")</f>
        <v>CCM</v>
      </c>
      <c r="J69" s="20"/>
      <c r="K69" s="62" t="s">
        <v>10</v>
      </c>
      <c r="L69" s="49">
        <f>(Trk1_Vin-Trk1_Vout)*Trk1_Iout+Trk1_Rev_Rdson*Trk1_Iout^2</f>
        <v>1.0514999999999998E-2</v>
      </c>
      <c r="M69" s="20"/>
      <c r="N69" s="62" t="s">
        <v>10</v>
      </c>
      <c r="O69" s="49">
        <f>(Trk2_Vin-Trk2_Vout)*Trk2_Iout+Trk2_Rev_Rdson*Trk2_Iout^2</f>
        <v>1.0514999999999998E-2</v>
      </c>
      <c r="P69" s="19"/>
      <c r="Q69" s="164"/>
      <c r="R69" s="164"/>
    </row>
    <row r="70" spans="1:23" x14ac:dyDescent="0.25">
      <c r="A70" s="19"/>
      <c r="B70" s="48"/>
      <c r="C70" s="17"/>
      <c r="D70" s="17"/>
      <c r="E70" s="48" t="s">
        <v>130</v>
      </c>
      <c r="F70" s="152">
        <f>(Vcore_LS_Output_Capacitance*Vcore_Frequency*Vcore_input_voltage^2)/2</f>
        <v>2.058890625E-3</v>
      </c>
      <c r="G70" s="17"/>
      <c r="H70" s="17"/>
      <c r="I70" s="14"/>
      <c r="J70" s="20"/>
      <c r="K70" s="20"/>
      <c r="L70" s="20"/>
      <c r="M70" s="20"/>
      <c r="N70" s="20"/>
      <c r="O70" s="20"/>
      <c r="P70" s="20"/>
      <c r="Q70" s="164"/>
      <c r="R70" s="164"/>
      <c r="U70" s="168"/>
    </row>
    <row r="71" spans="1:23" x14ac:dyDescent="0.25">
      <c r="A71" s="19"/>
      <c r="B71" s="48" t="s">
        <v>9</v>
      </c>
      <c r="C71" s="152">
        <f>Vcore_P_HS_cond+Vcore_P_HS_sw+Vcore_P_HS_coss+Vcore_P_HS_g+Vcore_P_LS_cond+Vcore_P_LS_sw+Vcore_P_LS_coss+Vcore_P_LS_g+Vcore_P_dead_time+Vcore_P_L+Vcore_P_COUT+Vcore_P_CIN+F73</f>
        <v>0.7087236525981313</v>
      </c>
      <c r="D71" s="17"/>
      <c r="E71" s="48" t="s">
        <v>137</v>
      </c>
      <c r="F71" s="152">
        <f>(Vcore_LS_Qg*Vcore_LS_drive_voltage*Vcore_Frequency)</f>
        <v>7.8750000000000001E-3</v>
      </c>
      <c r="G71" s="17"/>
      <c r="H71" s="169"/>
      <c r="I71" s="14"/>
      <c r="J71" s="20"/>
      <c r="Q71" s="164"/>
      <c r="R71" s="164"/>
    </row>
    <row r="72" spans="1:23" ht="13.8" thickBot="1" x14ac:dyDescent="0.3">
      <c r="A72" s="19"/>
      <c r="B72" s="48" t="s">
        <v>10</v>
      </c>
      <c r="C72" s="152">
        <f>Vcore_P_HS_cond+Vcore_P_HS_sw+Vcore_P_HS_coss+Vcore_P_HS_g+Vcore_P_LS_cond+Vcore_P_LS_sw+Vcore_P_LS_coss+Vcore_P_LS_g+Vcore_P_dead_time+F73</f>
        <v>0.64401979345415816</v>
      </c>
      <c r="D72" s="17"/>
      <c r="E72" s="48" t="s">
        <v>134</v>
      </c>
      <c r="F72" s="152">
        <f>Vcore_LS_Body_Diode_Voltage*Vcore_Total_Output_current*(Vcore_Dead_time_rising+Vcore_Dead_time_falling)*Vcore_Frequency</f>
        <v>0.14850000000000002</v>
      </c>
      <c r="G72" s="17"/>
      <c r="H72" s="17"/>
      <c r="I72" s="14"/>
      <c r="J72" s="20"/>
      <c r="U72" s="163"/>
    </row>
    <row r="73" spans="1:23" x14ac:dyDescent="0.25">
      <c r="A73" s="19"/>
      <c r="B73" s="251" t="s">
        <v>224</v>
      </c>
      <c r="C73" s="260">
        <f>Vcore_Pout/(Vcore_Pout+Vcore_Pdis_tot)</f>
        <v>0.77739159238278566</v>
      </c>
      <c r="D73" s="14"/>
      <c r="E73" s="24" t="s">
        <v>210</v>
      </c>
      <c r="F73" s="149">
        <f>Vcore_input_voltage*Vcore_LS_QRR*Vcore_Frequency</f>
        <v>5.4450000000000005E-2</v>
      </c>
      <c r="G73" s="14"/>
      <c r="H73" s="14"/>
      <c r="I73" s="14"/>
      <c r="J73" s="20"/>
      <c r="U73" s="165"/>
    </row>
    <row r="74" spans="1:23" ht="13.8" thickBot="1" x14ac:dyDescent="0.3">
      <c r="A74" s="19"/>
      <c r="B74" s="252"/>
      <c r="C74" s="261"/>
      <c r="D74" s="14"/>
      <c r="E74" s="60"/>
      <c r="F74" s="76"/>
      <c r="G74" s="14"/>
      <c r="H74" s="14"/>
      <c r="I74" s="14"/>
      <c r="J74" s="20"/>
      <c r="U74" s="165"/>
    </row>
    <row r="75" spans="1:23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20"/>
      <c r="U75" s="165"/>
    </row>
    <row r="76" spans="1:23" x14ac:dyDescent="0.25">
      <c r="Q76" s="170"/>
      <c r="U76" s="163"/>
    </row>
    <row r="77" spans="1:23" x14ac:dyDescent="0.25">
      <c r="U77" s="163"/>
    </row>
    <row r="78" spans="1:23" x14ac:dyDescent="0.25">
      <c r="W78" s="167"/>
    </row>
    <row r="80" spans="1:23" x14ac:dyDescent="0.25">
      <c r="W80" s="171"/>
    </row>
    <row r="111" ht="12.75" customHeight="1" x14ac:dyDescent="0.25"/>
  </sheetData>
  <sheetProtection algorithmName="SHA-512" hashValue="rX/rkC2kr7albIobx2nTGLorMUm8DAxo6ZBlAydWscEgvu/3LJcKWB5oTrdoIVqWcsaCD1KtHvpznVlahs82TA==" saltValue="JTTiyNdF/WbjEK3rq/1BNg==" spinCount="100000" sheet="1" selectLockedCells="1"/>
  <protectedRanges>
    <protectedRange sqref="C14:C19" name="Range1"/>
    <protectedRange sqref="L14:L28" name="Range2"/>
  </protectedRanges>
  <dataConsolidate/>
  <mergeCells count="32">
    <mergeCell ref="A1:O1"/>
    <mergeCell ref="P1:X1"/>
    <mergeCell ref="N58:O58"/>
    <mergeCell ref="N44:O44"/>
    <mergeCell ref="K13:L13"/>
    <mergeCell ref="N13:O13"/>
    <mergeCell ref="B46:C46"/>
    <mergeCell ref="E46:F46"/>
    <mergeCell ref="H46:I46"/>
    <mergeCell ref="B24:C24"/>
    <mergeCell ref="T11:W11"/>
    <mergeCell ref="Q44:R44"/>
    <mergeCell ref="K41:K42"/>
    <mergeCell ref="L41:L42"/>
    <mergeCell ref="K44:L44"/>
    <mergeCell ref="H3:I3"/>
    <mergeCell ref="B73:B74"/>
    <mergeCell ref="B13:C13"/>
    <mergeCell ref="E13:F13"/>
    <mergeCell ref="Q13:R13"/>
    <mergeCell ref="B3:C3"/>
    <mergeCell ref="B4:C4"/>
    <mergeCell ref="B11:I11"/>
    <mergeCell ref="K11:R11"/>
    <mergeCell ref="H13:I13"/>
    <mergeCell ref="C73:C74"/>
    <mergeCell ref="B41:B42"/>
    <mergeCell ref="C41:C42"/>
    <mergeCell ref="B44:I44"/>
    <mergeCell ref="K58:L58"/>
    <mergeCell ref="L8:Q8"/>
    <mergeCell ref="K55:O55"/>
  </mergeCells>
  <conditionalFormatting sqref="I37">
    <cfRule type="cellIs" dxfId="29" priority="69" operator="equal">
      <formula>"DCM"</formula>
    </cfRule>
    <cfRule type="cellIs" dxfId="28" priority="70" operator="equal">
      <formula>"CCM"</formula>
    </cfRule>
  </conditionalFormatting>
  <conditionalFormatting sqref="R37">
    <cfRule type="cellIs" dxfId="27" priority="63" operator="equal">
      <formula>"DCM"</formula>
    </cfRule>
    <cfRule type="cellIs" dxfId="26" priority="64" operator="equal">
      <formula>"CCM"</formula>
    </cfRule>
  </conditionalFormatting>
  <conditionalFormatting sqref="L49 O49">
    <cfRule type="cellIs" dxfId="25" priority="7" operator="greaterThan">
      <formula>400</formula>
    </cfRule>
    <cfRule type="cellIs" dxfId="24" priority="60" operator="greaterThan">
      <formula>400</formula>
    </cfRule>
  </conditionalFormatting>
  <conditionalFormatting sqref="O39">
    <cfRule type="cellIs" dxfId="23" priority="42" operator="greaterThan">
      <formula>1.5</formula>
    </cfRule>
  </conditionalFormatting>
  <conditionalFormatting sqref="O48">
    <cfRule type="expression" dxfId="22" priority="35">
      <formula>IF(I_LDO2&gt;150,IF((Boost-VLDO2)&lt;1,1,0),IF((Boost-VLDO2)&lt;0.5,1,0))</formula>
    </cfRule>
  </conditionalFormatting>
  <conditionalFormatting sqref="R17">
    <cfRule type="expression" dxfId="21" priority="74">
      <formula>$O$39&gt;1.5</formula>
    </cfRule>
  </conditionalFormatting>
  <conditionalFormatting sqref="I69">
    <cfRule type="cellIs" dxfId="20" priority="31" operator="equal">
      <formula>"DCM"</formula>
    </cfRule>
    <cfRule type="cellIs" dxfId="19" priority="32" operator="equal">
      <formula>"CCM"</formula>
    </cfRule>
  </conditionalFormatting>
  <conditionalFormatting sqref="R47">
    <cfRule type="cellIs" dxfId="18" priority="16" operator="equal">
      <formula>"Vpre too low"</formula>
    </cfRule>
  </conditionalFormatting>
  <conditionalFormatting sqref="R48">
    <cfRule type="expression" dxfId="17" priority="29">
      <formula>IF(I_LDO2&gt;150,IF((Boost-VLDO2)&lt;1,1,0),IF((Boost-VLDO2)&lt;0.5,1,0))</formula>
    </cfRule>
  </conditionalFormatting>
  <conditionalFormatting sqref="L65">
    <cfRule type="cellIs" dxfId="16" priority="28" operator="greaterThan">
      <formula>400</formula>
    </cfRule>
  </conditionalFormatting>
  <conditionalFormatting sqref="U28">
    <cfRule type="cellIs" dxfId="15" priority="76" operator="lessThan">
      <formula>$U$4</formula>
    </cfRule>
  </conditionalFormatting>
  <conditionalFormatting sqref="L62">
    <cfRule type="expression" dxfId="14" priority="21">
      <formula>OR(IF(LDO1_in="Buck3",IF(I_LDO1&gt;150,IF((Buck3-VLDO1)&lt;1,1,0),IF((Buck3-VLDO1)&lt;0.5,1,0)),0),IF(LDO1_in="Vpre",IF(I_LDO1&gt;150,IF((Vpre-VLDO1)&lt;1,1,0),IF((Vpre-VLDO1)&lt;0.5,1,0)),0),IF(LDO1_in="Boost",IF(I_LDO1&gt;150,IF((Buck3-VLDO1)&lt;1,1,0),IF((Buck3-VLDO1)&lt;0.5,1,0)),0))</formula>
    </cfRule>
  </conditionalFormatting>
  <conditionalFormatting sqref="O62">
    <cfRule type="expression" dxfId="13" priority="18">
      <formula>OR(IF(LDO1_in="Buck3",IF(I_LDO1&gt;150,IF((Buck3-VLDO1)&lt;1,1,0),IF((Buck3-VLDO1)&lt;0.5,1,0)),0),IF(LDO1_in="Vpre",IF(I_LDO1&gt;150,IF((Vpre-VLDO1)&lt;1,1,0),IF((Vpre-VLDO1)&lt;0.5,1,0)),0),IF(LDO1_in="Boost",IF(I_LDO1&gt;150,IF((Buck3-VLDO1)&lt;1,1,0),IF((Buck3-VLDO1)&lt;0.5,1,0)),0))</formula>
    </cfRule>
  </conditionalFormatting>
  <conditionalFormatting sqref="R49">
    <cfRule type="cellIs" dxfId="12" priority="17" operator="greaterThan">
      <formula>30</formula>
    </cfRule>
  </conditionalFormatting>
  <conditionalFormatting sqref="O47">
    <cfRule type="cellIs" dxfId="11" priority="15" operator="equal">
      <formula>"Vpre too low"</formula>
    </cfRule>
  </conditionalFormatting>
  <conditionalFormatting sqref="L47">
    <cfRule type="cellIs" dxfId="10" priority="14" operator="equal">
      <formula>"Vpre too low"</formula>
    </cfRule>
  </conditionalFormatting>
  <conditionalFormatting sqref="O65">
    <cfRule type="cellIs" dxfId="9" priority="13" operator="greaterThan">
      <formula>400</formula>
    </cfRule>
  </conditionalFormatting>
  <conditionalFormatting sqref="I20">
    <cfRule type="cellIs" dxfId="8" priority="11" operator="greaterThan">
      <formula>1.5</formula>
    </cfRule>
  </conditionalFormatting>
  <conditionalFormatting sqref="R21">
    <cfRule type="expression" dxfId="7" priority="9">
      <formula>OR(AND($R$14="BATTERY LINE",$R$21&gt;$I$5),AND($R$14="VPRE",$R$21&gt;$I$4))</formula>
    </cfRule>
  </conditionalFormatting>
  <conditionalFormatting sqref="I50">
    <cfRule type="cellIs" dxfId="6" priority="8" operator="greaterThan">
      <formula>1.65</formula>
    </cfRule>
  </conditionalFormatting>
  <conditionalFormatting sqref="L65 O65">
    <cfRule type="cellIs" dxfId="5" priority="6" operator="greaterThan">
      <formula>$N$4</formula>
    </cfRule>
  </conditionalFormatting>
  <conditionalFormatting sqref="L61">
    <cfRule type="cellIs" dxfId="4" priority="5" operator="equal">
      <formula>"Vpre too low"</formula>
    </cfRule>
  </conditionalFormatting>
  <conditionalFormatting sqref="O61">
    <cfRule type="cellIs" dxfId="3" priority="4" operator="equal">
      <formula>"Vpre too low"</formula>
    </cfRule>
  </conditionalFormatting>
  <conditionalFormatting sqref="F8">
    <cfRule type="expression" dxfId="2" priority="3">
      <formula>$F$8&gt;$U$5</formula>
    </cfRule>
  </conditionalFormatting>
  <conditionalFormatting sqref="R31">
    <cfRule type="expression" dxfId="1" priority="2">
      <formula>$R$31&gt;$R$27</formula>
    </cfRule>
  </conditionalFormatting>
  <conditionalFormatting sqref="F9">
    <cfRule type="expression" dxfId="0" priority="1">
      <formula>$F$8&gt;$U$5</formula>
    </cfRule>
  </conditionalFormatting>
  <dataValidations count="5">
    <dataValidation type="list" allowBlank="1" showInputMessage="1" showErrorMessage="1" sqref="I55" xr:uid="{F4A16367-4141-424A-A77A-A088AD5D9D51}">
      <formula1>#REF!</formula1>
    </dataValidation>
    <dataValidation type="decimal" operator="greaterThanOrEqual" allowBlank="1" showInputMessage="1" showErrorMessage="1" error="This cell must contain a positive number." sqref="I50 L49 O49 R49 L65 O65 R20 I19 K8:K9" xr:uid="{5E2C7540-9378-41A5-9478-15D8AF4D01F6}">
      <formula1>0</formula1>
    </dataValidation>
    <dataValidation type="decimal" operator="greaterThanOrEqual" allowBlank="1" showInputMessage="1" showErrorMessage="1" error="This cell must contain a positive number._x000a_" sqref="U3" xr:uid="{42C4E0DA-A8B0-40AD-9869-D20843630D9A}">
      <formula1>0</formula1>
    </dataValidation>
    <dataValidation type="decimal" allowBlank="1" showInputMessage="1" showErrorMessage="1" error="Junction temperature must be set between - 15 °C and + 150 °C." sqref="F8" xr:uid="{A4ED0CC7-8E69-4569-8402-A35DEF122D98}">
      <formula1>-15</formula1>
      <formula2>$U$5</formula2>
    </dataValidation>
    <dataValidation type="decimal" allowBlank="1" showInputMessage="1" showErrorMessage="1" error="Ambient temperature must be set between -40 °C and 125 °C._x000a_" sqref="U4" xr:uid="{3700A114-3762-43BA-A35B-E0B84CA3B4E9}">
      <formula1>-40</formula1>
      <formula2>125</formula2>
    </dataValidation>
  </dataValidations>
  <pageMargins left="0.17" right="0.19" top="0.33" bottom="0.43" header="0.16" footer="0.28000000000000003"/>
  <pageSetup paperSize="9" scale="52" orientation="landscape" r:id="rId1"/>
  <headerFooter alignWithMargins="0"/>
  <ignoredErrors>
    <ignoredError sqref="I47:I48 O63 L63" unlockedFormula="1"/>
    <ignoredError sqref="U35 U37 U39 U41 U33" evalError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00000000-0002-0000-0400-000001000000}">
          <x14:formula1>
            <xm:f>'Pull Down List'!$AO$4:$AO$56</xm:f>
          </x14:formula1>
          <xm:sqref>R18</xm:sqref>
        </x14:dataValidation>
        <x14:dataValidation type="list" allowBlank="1" showInputMessage="1" showErrorMessage="1" xr:uid="{96CF2D51-4224-4D39-9921-6D8668245517}">
          <x14:formula1>
            <xm:f>'Pull Down List'!$B$4:$B$5</xm:f>
          </x14:formula1>
          <xm:sqref>I22</xm:sqref>
        </x14:dataValidation>
        <x14:dataValidation type="list" allowBlank="1" showInputMessage="1" showErrorMessage="1" xr:uid="{A6C71242-DD42-43FD-AE07-F3E7F852ADE2}">
          <x14:formula1>
            <xm:f>'Pull Down List'!$E$4:$E$67</xm:f>
          </x14:formula1>
          <xm:sqref>I16</xm:sqref>
        </x14:dataValidation>
        <x14:dataValidation type="list" allowBlank="1" showInputMessage="1" showErrorMessage="1" xr:uid="{CFEA34FE-B3B0-4281-950B-CBE9D91E6D7E}">
          <x14:formula1>
            <xm:f>'Pull Down List'!$K$4:$K$259</xm:f>
          </x14:formula1>
          <xm:sqref>I49</xm:sqref>
        </x14:dataValidation>
        <x14:dataValidation type="list" allowBlank="1" showInputMessage="1" showErrorMessage="1" xr:uid="{28EE5A25-E0BF-4511-9F3E-3A1AB40EE8E6}">
          <x14:formula1>
            <xm:f>'Pull Down List'!$T$4:$T$5</xm:f>
          </x14:formula1>
          <xm:sqref>O48</xm:sqref>
        </x14:dataValidation>
        <x14:dataValidation type="list" allowBlank="1" showInputMessage="1" showErrorMessage="1" xr:uid="{35D81B15-CB3F-4E51-9CFB-6EEBD00B5691}">
          <x14:formula1>
            <xm:f>'Pull Down List'!$Q$4:$Q$5</xm:f>
          </x14:formula1>
          <xm:sqref>L48</xm:sqref>
        </x14:dataValidation>
        <x14:dataValidation type="list" allowBlank="1" showInputMessage="1" showErrorMessage="1" xr:uid="{172B45B4-961F-44EE-8D1E-789BC08B65EC}">
          <x14:formula1>
            <xm:f>'Pull Down List'!$AA$4:$AA$7</xm:f>
          </x14:formula1>
          <xm:sqref>O56</xm:sqref>
        </x14:dataValidation>
        <x14:dataValidation type="list" allowBlank="1" showInputMessage="1" showErrorMessage="1" xr:uid="{6683505E-A6DE-48FD-88B6-264D6D8E7DEB}">
          <x14:formula1>
            <xm:f>'Pull Down List'!$AF$4:$AF$6</xm:f>
          </x14:formula1>
          <xm:sqref>L62</xm:sqref>
        </x14:dataValidation>
        <x14:dataValidation type="list" allowBlank="1" showInputMessage="1" showErrorMessage="1" xr:uid="{717B38C1-DD5B-4FD1-817C-472B913FA4ED}">
          <x14:formula1>
            <xm:f>'Pull Down List'!$W$4:$W$5</xm:f>
          </x14:formula1>
          <xm:sqref>R48</xm:sqref>
        </x14:dataValidation>
        <x14:dataValidation type="list" allowBlank="1" showInputMessage="1" showErrorMessage="1" xr:uid="{56154AA2-DC92-4A37-97C1-4AE7C7308D1E}">
          <x14:formula1>
            <xm:f>'Pull Down List'!$AI$4:$AI$6</xm:f>
          </x14:formula1>
          <xm:sqref>O62</xm:sqref>
        </x14:dataValidation>
        <x14:dataValidation type="list" allowBlank="1" showInputMessage="1" showErrorMessage="1" xr:uid="{5A6EA4BE-4C92-4FE0-A333-BF3222579837}">
          <x14:formula1>
            <xm:f>'Pull Down List'!$AR$4:$AR$5</xm:f>
          </x14:formula1>
          <xm:sqref>R14</xm:sqref>
        </x14:dataValidation>
        <x14:dataValidation type="list" showInputMessage="1" showErrorMessage="1" xr:uid="{83C9BF6E-0497-46BF-94B8-55E4FEB93927}">
          <x14:formula1>
            <xm:f>'Pull Down List'!$H$4:$H$5</xm:f>
          </x14:formula1>
          <xm:sqref>C21</xm:sqref>
        </x14:dataValidation>
        <x14:dataValidation type="list" showInputMessage="1" showErrorMessage="1" xr:uid="{1978B8EC-533D-4D42-ACE7-6C71B1DCB59D}">
          <x14:formula1>
            <xm:f>'Pull Down List'!$N$4:$N$6</xm:f>
          </x14:formula1>
          <xm:sqref>C54</xm:sqref>
        </x14:dataValidation>
        <x14:dataValidation type="list" showInputMessage="1" showErrorMessage="1" xr:uid="{9C110830-9313-4A2C-8877-AECFF7EE3F54}">
          <x14:formula1>
            <xm:f>'Pull Down List'!$AL$4:$AL$5</xm:f>
          </x14:formula1>
          <xm:sqref>C26</xm:sqref>
        </x14:dataValidation>
        <x14:dataValidation type="list" allowBlank="1" showInputMessage="1" showErrorMessage="1" xr:uid="{00000000-0002-0000-0400-000008000000}">
          <x14:formula1>
            <xm:f>'Pull Down List'!$AU$4:$AU$5</xm:f>
          </x14:formula1>
          <xm:sqref>O14</xm:sqref>
        </x14:dataValidation>
        <x14:dataValidation type="list" allowBlank="1" showInputMessage="1" showErrorMessage="1" xr:uid="{74AA8E87-D980-4286-965E-9BDDFB3B88F1}">
          <x14:formula1>
            <xm:f>'Pull Down List'!$AX$4:$AX$7</xm:f>
          </x14:formula1>
          <xm:sqref>R27</xm:sqref>
        </x14:dataValidation>
        <x14:dataValidation type="list" allowBlank="1" showInputMessage="1" showErrorMessage="1" xr:uid="{CA5494B6-8168-4509-9CA7-8BDADBF4A82D}">
          <x14:formula1>
            <xm:f>'Pull Down List'!$BA$4:$BA$5</xm:f>
          </x14:formula1>
          <xm:sqref>R15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C2F79-B120-4350-80EC-C466A977B442}">
  <sheetPr codeName="Sheet5"/>
  <dimension ref="A2:BA259"/>
  <sheetViews>
    <sheetView topLeftCell="AC1" workbookViewId="0">
      <selection activeCell="AZ4" sqref="AZ4:BA5"/>
    </sheetView>
  </sheetViews>
  <sheetFormatPr defaultColWidth="8.6640625" defaultRowHeight="13.2" x14ac:dyDescent="0.25"/>
  <cols>
    <col min="1" max="1" width="10.5546875" customWidth="1"/>
    <col min="2" max="2" width="4.44140625" bestFit="1" customWidth="1"/>
    <col min="3" max="3" width="2" customWidth="1"/>
    <col min="4" max="4" width="8.6640625" bestFit="1" customWidth="1"/>
    <col min="5" max="5" width="4.44140625" bestFit="1" customWidth="1"/>
    <col min="6" max="6" width="2.6640625" customWidth="1"/>
    <col min="9" max="9" width="3.33203125" customWidth="1"/>
    <col min="10" max="10" width="10" bestFit="1" customWidth="1"/>
    <col min="12" max="12" width="2.44140625" customWidth="1"/>
    <col min="14" max="14" width="20.6640625" customWidth="1"/>
    <col min="15" max="15" width="2.44140625" customWidth="1"/>
    <col min="18" max="18" width="2.5546875" customWidth="1"/>
    <col min="21" max="21" width="2.6640625" customWidth="1"/>
    <col min="22" max="22" width="9.6640625" bestFit="1" customWidth="1"/>
    <col min="23" max="23" width="8" customWidth="1"/>
    <col min="24" max="24" width="2.6640625" customWidth="1"/>
    <col min="25" max="25" width="4" customWidth="1"/>
    <col min="26" max="26" width="11.6640625" bestFit="1" customWidth="1"/>
    <col min="30" max="30" width="2" customWidth="1"/>
    <col min="32" max="32" width="12.5546875" bestFit="1" customWidth="1"/>
    <col min="33" max="33" width="1.44140625" customWidth="1"/>
    <col min="35" max="35" width="12.33203125" customWidth="1"/>
    <col min="36" max="36" width="2.33203125" customWidth="1"/>
    <col min="38" max="38" width="12.33203125" customWidth="1"/>
    <col min="39" max="39" width="2.33203125" customWidth="1"/>
    <col min="40" max="40" width="12.33203125" bestFit="1" customWidth="1"/>
    <col min="42" max="42" width="2.6640625" customWidth="1"/>
    <col min="43" max="43" width="10.5546875" bestFit="1" customWidth="1"/>
    <col min="44" max="44" width="11.33203125" bestFit="1" customWidth="1"/>
    <col min="45" max="45" width="2.6640625" customWidth="1"/>
    <col min="46" max="46" width="15.33203125" bestFit="1" customWidth="1"/>
    <col min="48" max="48" width="2.6640625" customWidth="1"/>
    <col min="49" max="49" width="15.6640625" customWidth="1"/>
    <col min="52" max="52" width="12" bestFit="1" customWidth="1"/>
    <col min="53" max="53" width="6.6640625" bestFit="1" customWidth="1"/>
  </cols>
  <sheetData>
    <row r="2" spans="1:53" ht="15" customHeight="1" x14ac:dyDescent="0.25">
      <c r="A2" s="257" t="s">
        <v>107</v>
      </c>
      <c r="B2" s="257"/>
      <c r="C2" s="257"/>
      <c r="D2" s="257"/>
      <c r="E2" s="257"/>
      <c r="F2" s="257"/>
      <c r="G2" s="257"/>
      <c r="H2" s="257"/>
      <c r="J2" s="257" t="s">
        <v>154</v>
      </c>
      <c r="K2" s="257"/>
      <c r="L2" s="257"/>
      <c r="M2" s="257"/>
      <c r="N2" s="257"/>
      <c r="P2" s="262" t="s">
        <v>97</v>
      </c>
      <c r="Q2" s="263"/>
      <c r="S2" s="262" t="s">
        <v>98</v>
      </c>
      <c r="T2" s="263"/>
      <c r="V2" s="262" t="s">
        <v>171</v>
      </c>
      <c r="W2" s="262"/>
      <c r="Y2" s="262" t="s">
        <v>167</v>
      </c>
      <c r="Z2" s="262"/>
      <c r="AA2" s="262"/>
      <c r="AB2" s="262"/>
      <c r="AC2" s="262"/>
      <c r="AE2" s="262" t="s">
        <v>105</v>
      </c>
      <c r="AF2" s="263"/>
      <c r="AH2" s="262" t="s">
        <v>106</v>
      </c>
      <c r="AI2" s="263"/>
      <c r="AK2" s="262" t="s">
        <v>222</v>
      </c>
      <c r="AL2" s="263"/>
      <c r="AN2" s="258" t="s">
        <v>96</v>
      </c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</row>
    <row r="4" spans="1:53" ht="12.6" customHeight="1" x14ac:dyDescent="0.25">
      <c r="A4" s="276" t="s">
        <v>94</v>
      </c>
      <c r="B4" s="110">
        <v>450</v>
      </c>
      <c r="D4" s="278" t="s">
        <v>95</v>
      </c>
      <c r="E4" s="110">
        <v>3.2</v>
      </c>
      <c r="G4" s="281" t="s">
        <v>99</v>
      </c>
      <c r="H4" s="110" t="s">
        <v>213</v>
      </c>
      <c r="J4" s="278" t="s">
        <v>155</v>
      </c>
      <c r="K4" s="126">
        <v>0.8</v>
      </c>
      <c r="L4" s="160"/>
      <c r="M4" s="285" t="s">
        <v>218</v>
      </c>
      <c r="N4" s="204" t="s">
        <v>243</v>
      </c>
      <c r="P4" s="283" t="s">
        <v>164</v>
      </c>
      <c r="Q4" s="110">
        <v>3.3</v>
      </c>
      <c r="S4" s="283" t="s">
        <v>165</v>
      </c>
      <c r="T4" s="130">
        <v>3.3</v>
      </c>
      <c r="V4" s="283" t="s">
        <v>173</v>
      </c>
      <c r="W4" s="132">
        <v>3.3</v>
      </c>
      <c r="Z4" s="288" t="s">
        <v>168</v>
      </c>
      <c r="AA4" s="132">
        <v>1.2</v>
      </c>
      <c r="AE4" s="288" t="s">
        <v>169</v>
      </c>
      <c r="AF4" s="132" t="s">
        <v>156</v>
      </c>
      <c r="AH4" s="288" t="s">
        <v>176</v>
      </c>
      <c r="AI4" s="132" t="s">
        <v>156</v>
      </c>
      <c r="AK4" s="283" t="s">
        <v>232</v>
      </c>
      <c r="AL4" s="184" t="s">
        <v>181</v>
      </c>
      <c r="AN4" s="289" t="s">
        <v>178</v>
      </c>
      <c r="AO4" s="134">
        <v>5</v>
      </c>
      <c r="AQ4" s="288" t="s">
        <v>180</v>
      </c>
      <c r="AR4" s="134" t="s">
        <v>181</v>
      </c>
      <c r="AT4" s="289" t="s">
        <v>202</v>
      </c>
      <c r="AU4" s="142">
        <v>700</v>
      </c>
      <c r="AW4" s="289" t="s">
        <v>352</v>
      </c>
      <c r="AX4" s="227">
        <v>0.72499999999999998</v>
      </c>
      <c r="AZ4" s="288" t="s">
        <v>369</v>
      </c>
      <c r="BA4" s="236" t="s">
        <v>370</v>
      </c>
    </row>
    <row r="5" spans="1:53" x14ac:dyDescent="0.25">
      <c r="A5" s="277"/>
      <c r="B5" s="110">
        <v>2250</v>
      </c>
      <c r="D5" s="279"/>
      <c r="E5" s="111">
        <v>3.25</v>
      </c>
      <c r="G5" s="282"/>
      <c r="H5" s="110" t="s">
        <v>214</v>
      </c>
      <c r="J5" s="279"/>
      <c r="K5" s="126">
        <v>0.81</v>
      </c>
      <c r="L5" s="160"/>
      <c r="M5" s="286"/>
      <c r="N5" s="204" t="s">
        <v>244</v>
      </c>
      <c r="P5" s="284"/>
      <c r="Q5" s="112">
        <v>5</v>
      </c>
      <c r="S5" s="284"/>
      <c r="T5" s="130">
        <v>5</v>
      </c>
      <c r="V5" s="284"/>
      <c r="W5" s="132">
        <v>5</v>
      </c>
      <c r="Z5" s="288"/>
      <c r="AA5" s="132">
        <v>1.8</v>
      </c>
      <c r="AE5" s="288"/>
      <c r="AF5" s="132" t="s">
        <v>174</v>
      </c>
      <c r="AH5" s="288"/>
      <c r="AI5" s="132" t="s">
        <v>174</v>
      </c>
      <c r="AK5" s="284"/>
      <c r="AL5" s="184" t="s">
        <v>233</v>
      </c>
      <c r="AN5" s="290"/>
      <c r="AO5" s="134">
        <v>5.25</v>
      </c>
      <c r="AQ5" s="288"/>
      <c r="AR5" s="134" t="s">
        <v>182</v>
      </c>
      <c r="AT5" s="291"/>
      <c r="AU5" s="142">
        <v>900</v>
      </c>
      <c r="AW5" s="290"/>
      <c r="AX5" s="227">
        <v>0.77500000000000002</v>
      </c>
      <c r="AZ5" s="288"/>
      <c r="BA5" s="236" t="s">
        <v>371</v>
      </c>
    </row>
    <row r="6" spans="1:53" x14ac:dyDescent="0.25">
      <c r="D6" s="279"/>
      <c r="E6" s="110">
        <v>3.3</v>
      </c>
      <c r="J6" s="279"/>
      <c r="K6" s="126">
        <v>0.82</v>
      </c>
      <c r="L6" s="160"/>
      <c r="M6" s="287"/>
      <c r="N6" s="204" t="s">
        <v>245</v>
      </c>
      <c r="Z6" s="288"/>
      <c r="AA6" s="132">
        <v>3.3</v>
      </c>
      <c r="AE6" s="288"/>
      <c r="AF6" s="132" t="s">
        <v>58</v>
      </c>
      <c r="AH6" s="288"/>
      <c r="AI6" s="132" t="s">
        <v>58</v>
      </c>
      <c r="AN6" s="290"/>
      <c r="AO6" s="134">
        <v>5.5</v>
      </c>
      <c r="AQ6" s="118"/>
      <c r="AR6" s="137"/>
      <c r="AT6" s="201"/>
      <c r="AW6" s="290"/>
      <c r="AX6" s="227">
        <v>0.82499999999999996</v>
      </c>
    </row>
    <row r="7" spans="1:53" x14ac:dyDescent="0.25">
      <c r="D7" s="279"/>
      <c r="E7" s="113">
        <v>3.35</v>
      </c>
      <c r="J7" s="279"/>
      <c r="K7" s="126">
        <v>0.83</v>
      </c>
      <c r="L7" s="160"/>
      <c r="M7" s="160"/>
      <c r="Z7" s="288"/>
      <c r="AA7" s="132">
        <v>5</v>
      </c>
      <c r="AE7" s="118"/>
      <c r="AF7" s="137"/>
      <c r="AN7" s="290"/>
      <c r="AO7" s="134">
        <v>5.75</v>
      </c>
      <c r="AQ7" s="138"/>
      <c r="AR7" s="138"/>
      <c r="AT7" s="201"/>
      <c r="AW7" s="291"/>
      <c r="AX7" s="227">
        <v>0.875</v>
      </c>
    </row>
    <row r="8" spans="1:53" x14ac:dyDescent="0.25">
      <c r="D8" s="279"/>
      <c r="E8" s="113">
        <v>3.4</v>
      </c>
      <c r="J8" s="279"/>
      <c r="K8" s="126">
        <v>0.84</v>
      </c>
      <c r="L8" s="160"/>
      <c r="M8" s="160"/>
      <c r="AE8" s="138"/>
      <c r="AF8" s="138"/>
      <c r="AN8" s="290"/>
      <c r="AO8" s="134">
        <v>6</v>
      </c>
      <c r="AT8" s="201"/>
    </row>
    <row r="9" spans="1:53" x14ac:dyDescent="0.25">
      <c r="D9" s="279"/>
      <c r="E9" s="113">
        <v>3.45</v>
      </c>
      <c r="J9" s="279"/>
      <c r="K9" s="126">
        <v>0.85</v>
      </c>
      <c r="L9" s="160"/>
      <c r="M9" s="160"/>
      <c r="AE9" s="138"/>
      <c r="AF9" s="138"/>
      <c r="AN9" s="290"/>
      <c r="AO9" s="134">
        <v>6.25</v>
      </c>
      <c r="AT9" s="201"/>
    </row>
    <row r="10" spans="1:53" x14ac:dyDescent="0.25">
      <c r="D10" s="279"/>
      <c r="E10" s="113">
        <v>3.5</v>
      </c>
      <c r="J10" s="279"/>
      <c r="K10" s="126">
        <v>0.86</v>
      </c>
      <c r="L10" s="160"/>
      <c r="M10" s="160"/>
      <c r="AE10" s="139"/>
      <c r="AF10" s="139"/>
      <c r="AN10" s="290"/>
      <c r="AO10" s="134">
        <v>6.5</v>
      </c>
      <c r="AT10" s="201"/>
    </row>
    <row r="11" spans="1:53" x14ac:dyDescent="0.25">
      <c r="D11" s="279"/>
      <c r="E11" s="113">
        <v>3.55</v>
      </c>
      <c r="J11" s="279"/>
      <c r="K11" s="126">
        <v>0.87</v>
      </c>
      <c r="L11" s="160"/>
      <c r="M11" s="160"/>
      <c r="AN11" s="290"/>
      <c r="AO11" s="134">
        <v>6.75</v>
      </c>
      <c r="AT11" s="201"/>
    </row>
    <row r="12" spans="1:53" x14ac:dyDescent="0.25">
      <c r="D12" s="279"/>
      <c r="E12" s="113">
        <v>3.6</v>
      </c>
      <c r="J12" s="279"/>
      <c r="K12" s="126">
        <v>0.88</v>
      </c>
      <c r="L12" s="160"/>
      <c r="M12" s="160"/>
      <c r="AN12" s="290"/>
      <c r="AO12" s="134">
        <v>7</v>
      </c>
      <c r="AT12" s="201"/>
    </row>
    <row r="13" spans="1:53" x14ac:dyDescent="0.25">
      <c r="D13" s="279"/>
      <c r="E13" s="113">
        <v>3.65</v>
      </c>
      <c r="J13" s="279"/>
      <c r="K13" s="126">
        <v>0.89</v>
      </c>
      <c r="L13" s="160"/>
      <c r="M13" s="160"/>
      <c r="AN13" s="290"/>
      <c r="AO13" s="134">
        <v>7.25</v>
      </c>
      <c r="AT13" s="201"/>
    </row>
    <row r="14" spans="1:53" x14ac:dyDescent="0.25">
      <c r="D14" s="279"/>
      <c r="E14" s="113">
        <v>3.7</v>
      </c>
      <c r="J14" s="279"/>
      <c r="K14" s="126">
        <v>0.9</v>
      </c>
      <c r="L14" s="160"/>
      <c r="M14" s="160"/>
      <c r="AN14" s="290"/>
      <c r="AO14" s="134">
        <v>7.5</v>
      </c>
      <c r="AT14" s="201"/>
    </row>
    <row r="15" spans="1:53" x14ac:dyDescent="0.25">
      <c r="D15" s="279"/>
      <c r="E15" s="113">
        <v>3.75</v>
      </c>
      <c r="J15" s="279"/>
      <c r="K15" s="126">
        <v>0.91</v>
      </c>
      <c r="L15" s="160"/>
      <c r="M15" s="160"/>
      <c r="AN15" s="290"/>
      <c r="AO15" s="134">
        <v>7.75</v>
      </c>
      <c r="AT15" s="201"/>
    </row>
    <row r="16" spans="1:53" x14ac:dyDescent="0.25">
      <c r="D16" s="279"/>
      <c r="E16" s="113">
        <v>3.8</v>
      </c>
      <c r="J16" s="279"/>
      <c r="K16" s="126">
        <v>0.92</v>
      </c>
      <c r="L16" s="160"/>
      <c r="M16" s="160"/>
      <c r="AN16" s="290"/>
      <c r="AO16" s="134">
        <v>8</v>
      </c>
      <c r="AT16" s="201"/>
    </row>
    <row r="17" spans="4:46" x14ac:dyDescent="0.25">
      <c r="D17" s="279"/>
      <c r="E17" s="113">
        <v>3.85</v>
      </c>
      <c r="J17" s="279"/>
      <c r="K17" s="126">
        <v>0.93</v>
      </c>
      <c r="L17" s="160"/>
      <c r="M17" s="160"/>
      <c r="AN17" s="290"/>
      <c r="AO17" s="134">
        <v>8.25</v>
      </c>
      <c r="AT17" s="201"/>
    </row>
    <row r="18" spans="4:46" x14ac:dyDescent="0.25">
      <c r="D18" s="279"/>
      <c r="E18" s="113">
        <v>3.9</v>
      </c>
      <c r="J18" s="279"/>
      <c r="K18" s="126">
        <v>0.94</v>
      </c>
      <c r="L18" s="160"/>
      <c r="M18" s="160"/>
      <c r="AN18" s="290"/>
      <c r="AO18" s="134">
        <v>8.5</v>
      </c>
      <c r="AT18" s="201"/>
    </row>
    <row r="19" spans="4:46" x14ac:dyDescent="0.25">
      <c r="D19" s="279"/>
      <c r="E19" s="113">
        <v>3.95</v>
      </c>
      <c r="J19" s="279"/>
      <c r="K19" s="126">
        <v>0.95</v>
      </c>
      <c r="L19" s="160"/>
      <c r="M19" s="160"/>
      <c r="AN19" s="290"/>
      <c r="AO19" s="134">
        <v>8.75</v>
      </c>
      <c r="AT19" s="201"/>
    </row>
    <row r="20" spans="4:46" x14ac:dyDescent="0.25">
      <c r="D20" s="279"/>
      <c r="E20" s="113">
        <v>4</v>
      </c>
      <c r="J20" s="279"/>
      <c r="K20" s="126">
        <v>0.96</v>
      </c>
      <c r="L20" s="160"/>
      <c r="M20" s="160"/>
      <c r="AN20" s="290"/>
      <c r="AO20" s="134">
        <v>9</v>
      </c>
      <c r="AT20" s="201"/>
    </row>
    <row r="21" spans="4:46" x14ac:dyDescent="0.25">
      <c r="D21" s="279"/>
      <c r="E21" s="113">
        <v>4.05</v>
      </c>
      <c r="J21" s="279"/>
      <c r="K21" s="126">
        <v>0.97</v>
      </c>
      <c r="L21" s="160"/>
      <c r="M21" s="160"/>
      <c r="AN21" s="290"/>
      <c r="AO21" s="134">
        <v>9.25</v>
      </c>
      <c r="AT21" s="201"/>
    </row>
    <row r="22" spans="4:46" x14ac:dyDescent="0.25">
      <c r="D22" s="279"/>
      <c r="E22" s="113">
        <v>4.0999999999999996</v>
      </c>
      <c r="J22" s="279"/>
      <c r="K22" s="126">
        <v>0.98</v>
      </c>
      <c r="L22" s="160"/>
      <c r="M22" s="160"/>
      <c r="AN22" s="290"/>
      <c r="AO22" s="134">
        <v>9.5</v>
      </c>
      <c r="AT22" s="201"/>
    </row>
    <row r="23" spans="4:46" x14ac:dyDescent="0.25">
      <c r="D23" s="279"/>
      <c r="E23" s="113">
        <v>4.1500000000000004</v>
      </c>
      <c r="J23" s="279"/>
      <c r="K23" s="126">
        <v>0.99</v>
      </c>
      <c r="L23" s="160"/>
      <c r="M23" s="160"/>
      <c r="AN23" s="290"/>
      <c r="AO23" s="134">
        <v>9.75</v>
      </c>
      <c r="AT23" s="201"/>
    </row>
    <row r="24" spans="4:46" x14ac:dyDescent="0.25">
      <c r="D24" s="279"/>
      <c r="E24" s="113">
        <v>4.2</v>
      </c>
      <c r="J24" s="279"/>
      <c r="K24" s="126">
        <v>1</v>
      </c>
      <c r="L24" s="160"/>
      <c r="M24" s="160"/>
      <c r="AN24" s="290"/>
      <c r="AO24" s="134">
        <v>10</v>
      </c>
      <c r="AT24" s="201"/>
    </row>
    <row r="25" spans="4:46" x14ac:dyDescent="0.25">
      <c r="D25" s="279"/>
      <c r="E25" s="113">
        <v>4.25</v>
      </c>
      <c r="J25" s="279"/>
      <c r="K25" s="126">
        <v>1.01</v>
      </c>
      <c r="L25" s="160"/>
      <c r="M25" s="160"/>
      <c r="AN25" s="290"/>
      <c r="AO25" s="134">
        <v>10.25</v>
      </c>
      <c r="AT25" s="201"/>
    </row>
    <row r="26" spans="4:46" x14ac:dyDescent="0.25">
      <c r="D26" s="279"/>
      <c r="E26" s="113">
        <v>4.3</v>
      </c>
      <c r="J26" s="279"/>
      <c r="K26" s="126">
        <v>1.02</v>
      </c>
      <c r="L26" s="160"/>
      <c r="M26" s="160"/>
      <c r="AN26" s="290"/>
      <c r="AO26" s="134">
        <v>10.5</v>
      </c>
      <c r="AT26" s="201"/>
    </row>
    <row r="27" spans="4:46" x14ac:dyDescent="0.25">
      <c r="D27" s="279"/>
      <c r="E27" s="113">
        <v>4.3499999999999996</v>
      </c>
      <c r="J27" s="279"/>
      <c r="K27" s="126">
        <v>1.03</v>
      </c>
      <c r="L27" s="160"/>
      <c r="M27" s="160"/>
      <c r="AN27" s="290"/>
      <c r="AO27" s="134">
        <v>10.75</v>
      </c>
      <c r="AT27" s="201"/>
    </row>
    <row r="28" spans="4:46" x14ac:dyDescent="0.25">
      <c r="D28" s="279"/>
      <c r="E28" s="113">
        <v>4.4000000000000004</v>
      </c>
      <c r="J28" s="279"/>
      <c r="K28" s="126">
        <v>1.04</v>
      </c>
      <c r="L28" s="160"/>
      <c r="M28" s="160"/>
      <c r="AN28" s="290"/>
      <c r="AO28" s="134">
        <v>11</v>
      </c>
      <c r="AT28" s="139"/>
    </row>
    <row r="29" spans="4:46" x14ac:dyDescent="0.25">
      <c r="D29" s="279"/>
      <c r="E29" s="113">
        <v>4.45</v>
      </c>
      <c r="J29" s="279"/>
      <c r="K29" s="126">
        <v>1.05</v>
      </c>
      <c r="L29" s="160"/>
      <c r="M29" s="160"/>
      <c r="AN29" s="290"/>
      <c r="AO29" s="134">
        <v>11.25</v>
      </c>
      <c r="AT29" s="139"/>
    </row>
    <row r="30" spans="4:46" x14ac:dyDescent="0.25">
      <c r="D30" s="279"/>
      <c r="E30" s="113">
        <v>4.5</v>
      </c>
      <c r="J30" s="279"/>
      <c r="K30" s="126">
        <v>1.06</v>
      </c>
      <c r="L30" s="160"/>
      <c r="M30" s="160"/>
      <c r="AN30" s="290"/>
      <c r="AO30" s="134">
        <v>11.5</v>
      </c>
      <c r="AT30" s="139"/>
    </row>
    <row r="31" spans="4:46" x14ac:dyDescent="0.25">
      <c r="D31" s="279"/>
      <c r="E31" s="113">
        <v>4.55</v>
      </c>
      <c r="J31" s="279"/>
      <c r="K31" s="126">
        <v>1.07</v>
      </c>
      <c r="L31" s="160"/>
      <c r="M31" s="160"/>
      <c r="AN31" s="290"/>
      <c r="AO31" s="134">
        <v>11.75</v>
      </c>
      <c r="AT31" s="139"/>
    </row>
    <row r="32" spans="4:46" x14ac:dyDescent="0.25">
      <c r="D32" s="279"/>
      <c r="E32" s="113">
        <v>4.5999999999999996</v>
      </c>
      <c r="J32" s="279"/>
      <c r="K32" s="126">
        <v>1.08</v>
      </c>
      <c r="L32" s="160"/>
      <c r="M32" s="160"/>
      <c r="AN32" s="290"/>
      <c r="AO32" s="134">
        <v>12</v>
      </c>
      <c r="AT32" s="139"/>
    </row>
    <row r="33" spans="4:46" x14ac:dyDescent="0.25">
      <c r="D33" s="279"/>
      <c r="E33" s="113">
        <v>4.6500000000000004</v>
      </c>
      <c r="J33" s="279"/>
      <c r="K33" s="126">
        <v>1.0900000000000001</v>
      </c>
      <c r="L33" s="160"/>
      <c r="M33" s="160"/>
      <c r="AN33" s="290"/>
      <c r="AO33" s="134">
        <v>12.25</v>
      </c>
      <c r="AT33" s="139"/>
    </row>
    <row r="34" spans="4:46" x14ac:dyDescent="0.25">
      <c r="D34" s="279"/>
      <c r="E34" s="113">
        <v>4.7</v>
      </c>
      <c r="J34" s="279"/>
      <c r="K34" s="126">
        <v>1.1000000000000001</v>
      </c>
      <c r="L34" s="160"/>
      <c r="M34" s="160"/>
      <c r="AN34" s="290"/>
      <c r="AO34" s="134">
        <v>12.5</v>
      </c>
      <c r="AT34" s="139"/>
    </row>
    <row r="35" spans="4:46" x14ac:dyDescent="0.25">
      <c r="D35" s="279"/>
      <c r="E35" s="113">
        <v>4.75</v>
      </c>
      <c r="J35" s="279"/>
      <c r="K35" s="126">
        <v>1.1100000000000001</v>
      </c>
      <c r="L35" s="160"/>
      <c r="M35" s="160"/>
      <c r="AN35" s="290"/>
      <c r="AO35" s="134">
        <v>12.75</v>
      </c>
      <c r="AT35" s="139"/>
    </row>
    <row r="36" spans="4:46" x14ac:dyDescent="0.25">
      <c r="D36" s="279"/>
      <c r="E36" s="113">
        <v>4.8</v>
      </c>
      <c r="J36" s="279"/>
      <c r="K36" s="126">
        <v>1.1200000000000001</v>
      </c>
      <c r="L36" s="160"/>
      <c r="M36" s="160"/>
      <c r="AN36" s="290"/>
      <c r="AO36" s="134">
        <v>13</v>
      </c>
      <c r="AT36" s="139"/>
    </row>
    <row r="37" spans="4:46" x14ac:dyDescent="0.25">
      <c r="D37" s="279"/>
      <c r="E37" s="113">
        <v>4.8499999999999996</v>
      </c>
      <c r="J37" s="279"/>
      <c r="K37" s="126">
        <v>1.1299999999999999</v>
      </c>
      <c r="L37" s="160"/>
      <c r="M37" s="160"/>
      <c r="AN37" s="290"/>
      <c r="AO37" s="134">
        <v>13.25</v>
      </c>
      <c r="AT37" s="139"/>
    </row>
    <row r="38" spans="4:46" x14ac:dyDescent="0.25">
      <c r="D38" s="279"/>
      <c r="E38" s="113">
        <v>4.9000000000000004</v>
      </c>
      <c r="J38" s="279"/>
      <c r="K38" s="126">
        <v>1.1399999999999999</v>
      </c>
      <c r="L38" s="160"/>
      <c r="M38" s="160"/>
      <c r="AN38" s="290"/>
      <c r="AO38" s="134">
        <v>13.5</v>
      </c>
      <c r="AT38" s="139"/>
    </row>
    <row r="39" spans="4:46" x14ac:dyDescent="0.25">
      <c r="D39" s="279"/>
      <c r="E39" s="113">
        <v>4.95</v>
      </c>
      <c r="J39" s="279"/>
      <c r="K39" s="126">
        <v>1.1499999999999999</v>
      </c>
      <c r="L39" s="160"/>
      <c r="M39" s="160"/>
      <c r="AN39" s="290"/>
      <c r="AO39" s="134">
        <v>13.75</v>
      </c>
    </row>
    <row r="40" spans="4:46" x14ac:dyDescent="0.25">
      <c r="D40" s="279"/>
      <c r="E40" s="113">
        <v>5</v>
      </c>
      <c r="J40" s="279"/>
      <c r="K40" s="126">
        <v>1.1599999999999999</v>
      </c>
      <c r="L40" s="160"/>
      <c r="M40" s="160"/>
      <c r="AN40" s="290"/>
      <c r="AO40" s="134">
        <v>14</v>
      </c>
    </row>
    <row r="41" spans="4:46" x14ac:dyDescent="0.25">
      <c r="D41" s="279"/>
      <c r="E41" s="113">
        <v>5.05</v>
      </c>
      <c r="J41" s="279"/>
      <c r="K41" s="126">
        <v>1.17</v>
      </c>
      <c r="L41" s="160"/>
      <c r="M41" s="160"/>
      <c r="AN41" s="290"/>
      <c r="AO41" s="134">
        <v>14.25</v>
      </c>
    </row>
    <row r="42" spans="4:46" x14ac:dyDescent="0.25">
      <c r="D42" s="279"/>
      <c r="E42" s="113">
        <v>5.0999999999999996</v>
      </c>
      <c r="J42" s="279"/>
      <c r="K42" s="126">
        <v>1.18</v>
      </c>
      <c r="L42" s="160"/>
      <c r="M42" s="160"/>
      <c r="AN42" s="290"/>
      <c r="AO42" s="134">
        <v>14.5</v>
      </c>
    </row>
    <row r="43" spans="4:46" x14ac:dyDescent="0.25">
      <c r="D43" s="279"/>
      <c r="E43" s="113">
        <v>5.15</v>
      </c>
      <c r="J43" s="279"/>
      <c r="K43" s="126">
        <v>1.19</v>
      </c>
      <c r="L43" s="160"/>
      <c r="M43" s="160"/>
      <c r="AN43" s="290"/>
      <c r="AO43" s="134">
        <v>14.75</v>
      </c>
    </row>
    <row r="44" spans="4:46" x14ac:dyDescent="0.25">
      <c r="D44" s="279"/>
      <c r="E44" s="113">
        <v>5.2</v>
      </c>
      <c r="J44" s="279"/>
      <c r="K44" s="126">
        <v>1.2</v>
      </c>
      <c r="L44" s="160"/>
      <c r="M44" s="160"/>
      <c r="AN44" s="290"/>
      <c r="AO44" s="134">
        <v>15</v>
      </c>
    </row>
    <row r="45" spans="4:46" x14ac:dyDescent="0.25">
      <c r="D45" s="279"/>
      <c r="E45" s="113">
        <v>5.25</v>
      </c>
      <c r="J45" s="279"/>
      <c r="K45" s="126">
        <v>1.21</v>
      </c>
      <c r="L45" s="160"/>
      <c r="M45" s="160"/>
      <c r="AN45" s="290"/>
      <c r="AO45" s="134">
        <v>15.25</v>
      </c>
    </row>
    <row r="46" spans="4:46" x14ac:dyDescent="0.25">
      <c r="D46" s="279"/>
      <c r="E46" s="113">
        <v>5.3</v>
      </c>
      <c r="J46" s="279"/>
      <c r="K46" s="126">
        <v>1.22</v>
      </c>
      <c r="L46" s="160"/>
      <c r="M46" s="160"/>
      <c r="AN46" s="290"/>
      <c r="AO46" s="134">
        <v>15.5</v>
      </c>
    </row>
    <row r="47" spans="4:46" x14ac:dyDescent="0.25">
      <c r="D47" s="279"/>
      <c r="E47" s="113">
        <v>5.35</v>
      </c>
      <c r="J47" s="279"/>
      <c r="K47" s="126">
        <v>1.23</v>
      </c>
      <c r="L47" s="160"/>
      <c r="M47" s="160"/>
      <c r="AN47" s="290"/>
      <c r="AO47" s="134">
        <v>15.75</v>
      </c>
    </row>
    <row r="48" spans="4:46" x14ac:dyDescent="0.25">
      <c r="D48" s="279"/>
      <c r="E48" s="113">
        <v>5.4</v>
      </c>
      <c r="J48" s="279"/>
      <c r="K48" s="126">
        <v>1.24</v>
      </c>
      <c r="L48" s="160"/>
      <c r="M48" s="160"/>
      <c r="AN48" s="290"/>
      <c r="AO48" s="134">
        <v>16</v>
      </c>
    </row>
    <row r="49" spans="4:41" x14ac:dyDescent="0.25">
      <c r="D49" s="279"/>
      <c r="E49" s="113">
        <v>5.45</v>
      </c>
      <c r="J49" s="279"/>
      <c r="K49" s="126">
        <v>1.25</v>
      </c>
      <c r="L49" s="160"/>
      <c r="M49" s="160"/>
      <c r="AN49" s="290"/>
      <c r="AO49" s="134">
        <v>16.25</v>
      </c>
    </row>
    <row r="50" spans="4:41" x14ac:dyDescent="0.25">
      <c r="D50" s="279"/>
      <c r="E50" s="113">
        <v>5.5</v>
      </c>
      <c r="J50" s="279"/>
      <c r="K50" s="126">
        <v>1.26</v>
      </c>
      <c r="L50" s="160"/>
      <c r="M50" s="160"/>
      <c r="AN50" s="290"/>
      <c r="AO50" s="134">
        <v>16.5</v>
      </c>
    </row>
    <row r="51" spans="4:41" x14ac:dyDescent="0.25">
      <c r="D51" s="279"/>
      <c r="E51" s="113">
        <v>5.55</v>
      </c>
      <c r="J51" s="279"/>
      <c r="K51" s="126">
        <v>1.27</v>
      </c>
      <c r="L51" s="160"/>
      <c r="M51" s="160"/>
      <c r="AN51" s="290"/>
      <c r="AO51" s="134">
        <v>16.75</v>
      </c>
    </row>
    <row r="52" spans="4:41" x14ac:dyDescent="0.25">
      <c r="D52" s="279"/>
      <c r="E52" s="113">
        <v>5.6</v>
      </c>
      <c r="J52" s="279"/>
      <c r="K52" s="126">
        <v>1.28</v>
      </c>
      <c r="L52" s="160"/>
      <c r="M52" s="160"/>
      <c r="AN52" s="290"/>
      <c r="AO52" s="134">
        <v>17</v>
      </c>
    </row>
    <row r="53" spans="4:41" x14ac:dyDescent="0.25">
      <c r="D53" s="279"/>
      <c r="E53" s="113">
        <v>5.65</v>
      </c>
      <c r="J53" s="279"/>
      <c r="K53" s="126">
        <v>1.29</v>
      </c>
      <c r="L53" s="160"/>
      <c r="M53" s="160"/>
      <c r="AN53" s="290"/>
      <c r="AO53" s="184">
        <v>17.25</v>
      </c>
    </row>
    <row r="54" spans="4:41" x14ac:dyDescent="0.25">
      <c r="D54" s="279"/>
      <c r="E54" s="113">
        <v>5.7</v>
      </c>
      <c r="J54" s="279"/>
      <c r="K54" s="126">
        <v>1.3</v>
      </c>
      <c r="L54" s="160"/>
      <c r="M54" s="160"/>
      <c r="AN54" s="290"/>
      <c r="AO54" s="184">
        <v>17.5</v>
      </c>
    </row>
    <row r="55" spans="4:41" x14ac:dyDescent="0.25">
      <c r="D55" s="279"/>
      <c r="E55" s="113">
        <v>5.75</v>
      </c>
      <c r="J55" s="279"/>
      <c r="K55" s="126">
        <v>1.31</v>
      </c>
      <c r="L55" s="160"/>
      <c r="M55" s="160"/>
      <c r="AN55" s="290"/>
      <c r="AO55" s="184">
        <v>17.75</v>
      </c>
    </row>
    <row r="56" spans="4:41" x14ac:dyDescent="0.25">
      <c r="D56" s="279"/>
      <c r="E56" s="113">
        <v>5.8</v>
      </c>
      <c r="J56" s="279"/>
      <c r="K56" s="126">
        <v>1.32</v>
      </c>
      <c r="L56" s="160"/>
      <c r="M56" s="160"/>
      <c r="AN56" s="291"/>
      <c r="AO56" s="184">
        <v>18</v>
      </c>
    </row>
    <row r="57" spans="4:41" x14ac:dyDescent="0.25">
      <c r="D57" s="279"/>
      <c r="E57" s="113">
        <v>5.85</v>
      </c>
      <c r="J57" s="279"/>
      <c r="K57" s="126">
        <v>1.33</v>
      </c>
      <c r="L57" s="160"/>
      <c r="M57" s="160"/>
    </row>
    <row r="58" spans="4:41" x14ac:dyDescent="0.25">
      <c r="D58" s="279"/>
      <c r="E58" s="113">
        <v>5.9</v>
      </c>
      <c r="J58" s="279"/>
      <c r="K58" s="126">
        <v>1.34</v>
      </c>
      <c r="L58" s="160"/>
      <c r="M58" s="160"/>
    </row>
    <row r="59" spans="4:41" x14ac:dyDescent="0.25">
      <c r="D59" s="279"/>
      <c r="E59" s="113">
        <v>5.95</v>
      </c>
      <c r="J59" s="279"/>
      <c r="K59" s="126">
        <v>1.35</v>
      </c>
      <c r="L59" s="160"/>
      <c r="M59" s="160"/>
    </row>
    <row r="60" spans="4:41" x14ac:dyDescent="0.25">
      <c r="D60" s="279"/>
      <c r="E60" s="113">
        <v>6</v>
      </c>
      <c r="J60" s="279"/>
      <c r="K60" s="126">
        <v>1.36</v>
      </c>
      <c r="L60" s="160"/>
      <c r="M60" s="160"/>
    </row>
    <row r="61" spans="4:41" x14ac:dyDescent="0.25">
      <c r="D61" s="279"/>
      <c r="E61" s="113">
        <v>6.05</v>
      </c>
      <c r="J61" s="279"/>
      <c r="K61" s="126">
        <v>1.37</v>
      </c>
      <c r="L61" s="160"/>
      <c r="M61" s="160"/>
    </row>
    <row r="62" spans="4:41" x14ac:dyDescent="0.25">
      <c r="D62" s="279"/>
      <c r="E62" s="113">
        <v>6.1</v>
      </c>
      <c r="J62" s="279"/>
      <c r="K62" s="126">
        <v>1.38</v>
      </c>
      <c r="L62" s="160"/>
      <c r="M62" s="160"/>
    </row>
    <row r="63" spans="4:41" x14ac:dyDescent="0.25">
      <c r="D63" s="279"/>
      <c r="E63" s="113">
        <v>6.15</v>
      </c>
      <c r="J63" s="279"/>
      <c r="K63" s="126">
        <v>1.39</v>
      </c>
      <c r="L63" s="160"/>
      <c r="M63" s="160"/>
    </row>
    <row r="64" spans="4:41" x14ac:dyDescent="0.25">
      <c r="D64" s="279"/>
      <c r="E64" s="113">
        <v>6.2</v>
      </c>
      <c r="J64" s="279"/>
      <c r="K64" s="126">
        <v>1.4</v>
      </c>
      <c r="L64" s="160"/>
      <c r="M64" s="160"/>
    </row>
    <row r="65" spans="4:13" x14ac:dyDescent="0.25">
      <c r="D65" s="279"/>
      <c r="E65" s="113">
        <v>6.25</v>
      </c>
      <c r="J65" s="279"/>
      <c r="K65" s="126">
        <v>1.41</v>
      </c>
      <c r="L65" s="160"/>
      <c r="M65" s="160"/>
    </row>
    <row r="66" spans="4:13" x14ac:dyDescent="0.25">
      <c r="D66" s="279"/>
      <c r="E66" s="113">
        <v>6.3</v>
      </c>
      <c r="J66" s="279"/>
      <c r="K66" s="126">
        <v>1.42</v>
      </c>
      <c r="L66" s="160"/>
      <c r="M66" s="160"/>
    </row>
    <row r="67" spans="4:13" x14ac:dyDescent="0.25">
      <c r="D67" s="280"/>
      <c r="E67" s="113">
        <v>6.35</v>
      </c>
      <c r="J67" s="279"/>
      <c r="K67" s="126">
        <v>1.43</v>
      </c>
      <c r="L67" s="160"/>
      <c r="M67" s="160"/>
    </row>
    <row r="68" spans="4:13" x14ac:dyDescent="0.25">
      <c r="J68" s="279"/>
      <c r="K68" s="126">
        <v>1.44</v>
      </c>
      <c r="L68" s="160"/>
      <c r="M68" s="160"/>
    </row>
    <row r="69" spans="4:13" x14ac:dyDescent="0.25">
      <c r="J69" s="279"/>
      <c r="K69" s="126">
        <v>1.45</v>
      </c>
      <c r="L69" s="160"/>
      <c r="M69" s="160"/>
    </row>
    <row r="70" spans="4:13" x14ac:dyDescent="0.25">
      <c r="J70" s="279"/>
      <c r="K70" s="126">
        <v>1.46</v>
      </c>
      <c r="L70" s="160"/>
      <c r="M70" s="160"/>
    </row>
    <row r="71" spans="4:13" x14ac:dyDescent="0.25">
      <c r="J71" s="279"/>
      <c r="K71" s="126">
        <v>1.47</v>
      </c>
      <c r="L71" s="160"/>
      <c r="M71" s="160"/>
    </row>
    <row r="72" spans="4:13" x14ac:dyDescent="0.25">
      <c r="J72" s="279"/>
      <c r="K72" s="126">
        <v>1.48</v>
      </c>
      <c r="L72" s="160"/>
      <c r="M72" s="160"/>
    </row>
    <row r="73" spans="4:13" x14ac:dyDescent="0.25">
      <c r="J73" s="279"/>
      <c r="K73" s="126">
        <v>1.49</v>
      </c>
      <c r="L73" s="160"/>
      <c r="M73" s="160"/>
    </row>
    <row r="74" spans="4:13" x14ac:dyDescent="0.25">
      <c r="J74" s="279"/>
      <c r="K74" s="126">
        <v>1.5</v>
      </c>
      <c r="L74" s="160"/>
      <c r="M74" s="160"/>
    </row>
    <row r="75" spans="4:13" x14ac:dyDescent="0.25">
      <c r="J75" s="279"/>
      <c r="K75" s="126">
        <v>1.51</v>
      </c>
      <c r="L75" s="160"/>
      <c r="M75" s="160"/>
    </row>
    <row r="76" spans="4:13" x14ac:dyDescent="0.25">
      <c r="J76" s="279"/>
      <c r="K76" s="126">
        <v>1.52</v>
      </c>
      <c r="L76" s="160"/>
      <c r="M76" s="160"/>
    </row>
    <row r="77" spans="4:13" x14ac:dyDescent="0.25">
      <c r="J77" s="279"/>
      <c r="K77" s="126">
        <v>1.53</v>
      </c>
      <c r="L77" s="160"/>
      <c r="M77" s="160"/>
    </row>
    <row r="78" spans="4:13" x14ac:dyDescent="0.25">
      <c r="J78" s="279"/>
      <c r="K78" s="126">
        <v>1.54</v>
      </c>
      <c r="L78" s="160"/>
      <c r="M78" s="160"/>
    </row>
    <row r="79" spans="4:13" x14ac:dyDescent="0.25">
      <c r="J79" s="279"/>
      <c r="K79" s="126">
        <v>1.55</v>
      </c>
      <c r="L79" s="160"/>
      <c r="M79" s="160"/>
    </row>
    <row r="80" spans="4:13" x14ac:dyDescent="0.25">
      <c r="J80" s="279"/>
      <c r="K80" s="126">
        <v>1.56</v>
      </c>
      <c r="L80" s="160"/>
      <c r="M80" s="160"/>
    </row>
    <row r="81" spans="10:13" x14ac:dyDescent="0.25">
      <c r="J81" s="279"/>
      <c r="K81" s="126">
        <v>1.57</v>
      </c>
      <c r="L81" s="160"/>
      <c r="M81" s="160"/>
    </row>
    <row r="82" spans="10:13" x14ac:dyDescent="0.25">
      <c r="J82" s="279"/>
      <c r="K82" s="126">
        <v>1.58</v>
      </c>
      <c r="L82" s="160"/>
      <c r="M82" s="160"/>
    </row>
    <row r="83" spans="10:13" x14ac:dyDescent="0.25">
      <c r="J83" s="279"/>
      <c r="K83" s="126">
        <v>1.59</v>
      </c>
      <c r="L83" s="160"/>
      <c r="M83" s="160"/>
    </row>
    <row r="84" spans="10:13" x14ac:dyDescent="0.25">
      <c r="J84" s="279"/>
      <c r="K84" s="126">
        <v>1.6</v>
      </c>
      <c r="L84" s="160"/>
      <c r="M84" s="160"/>
    </row>
    <row r="85" spans="10:13" x14ac:dyDescent="0.25">
      <c r="J85" s="279"/>
      <c r="K85" s="126">
        <v>1.61</v>
      </c>
      <c r="L85" s="160"/>
      <c r="M85" s="160"/>
    </row>
    <row r="86" spans="10:13" x14ac:dyDescent="0.25">
      <c r="J86" s="279"/>
      <c r="K86" s="126">
        <v>1.62</v>
      </c>
      <c r="L86" s="160"/>
      <c r="M86" s="160"/>
    </row>
    <row r="87" spans="10:13" x14ac:dyDescent="0.25">
      <c r="J87" s="279"/>
      <c r="K87" s="126">
        <v>1.63</v>
      </c>
      <c r="L87" s="160"/>
      <c r="M87" s="160"/>
    </row>
    <row r="88" spans="10:13" x14ac:dyDescent="0.25">
      <c r="J88" s="279"/>
      <c r="K88" s="126">
        <v>1.64</v>
      </c>
      <c r="L88" s="160"/>
      <c r="M88" s="160"/>
    </row>
    <row r="89" spans="10:13" x14ac:dyDescent="0.25">
      <c r="J89" s="279"/>
      <c r="K89" s="126">
        <v>1.65</v>
      </c>
      <c r="L89" s="160"/>
      <c r="M89" s="160"/>
    </row>
    <row r="90" spans="10:13" x14ac:dyDescent="0.25">
      <c r="J90" s="279"/>
      <c r="K90" s="126">
        <v>1.66</v>
      </c>
      <c r="L90" s="160"/>
      <c r="M90" s="160"/>
    </row>
    <row r="91" spans="10:13" x14ac:dyDescent="0.25">
      <c r="J91" s="279"/>
      <c r="K91" s="126">
        <v>1.67</v>
      </c>
      <c r="L91" s="160"/>
      <c r="M91" s="160"/>
    </row>
    <row r="92" spans="10:13" x14ac:dyDescent="0.25">
      <c r="J92" s="279"/>
      <c r="K92" s="126">
        <v>1.68</v>
      </c>
      <c r="L92" s="160"/>
      <c r="M92" s="160"/>
    </row>
    <row r="93" spans="10:13" x14ac:dyDescent="0.25">
      <c r="J93" s="279"/>
      <c r="K93" s="126">
        <v>1.69</v>
      </c>
      <c r="L93" s="160"/>
      <c r="M93" s="160"/>
    </row>
    <row r="94" spans="10:13" x14ac:dyDescent="0.25">
      <c r="J94" s="279"/>
      <c r="K94" s="126">
        <v>1.7</v>
      </c>
      <c r="L94" s="160"/>
      <c r="M94" s="160"/>
    </row>
    <row r="95" spans="10:13" x14ac:dyDescent="0.25">
      <c r="J95" s="279"/>
      <c r="K95" s="126">
        <v>1.71</v>
      </c>
      <c r="L95" s="160"/>
      <c r="M95" s="160"/>
    </row>
    <row r="96" spans="10:13" x14ac:dyDescent="0.25">
      <c r="J96" s="279"/>
      <c r="K96" s="126">
        <v>1.72</v>
      </c>
      <c r="L96" s="160"/>
      <c r="M96" s="160"/>
    </row>
    <row r="97" spans="10:13" x14ac:dyDescent="0.25">
      <c r="J97" s="279"/>
      <c r="K97" s="126">
        <v>1.73</v>
      </c>
      <c r="L97" s="160"/>
      <c r="M97" s="160"/>
    </row>
    <row r="98" spans="10:13" x14ac:dyDescent="0.25">
      <c r="J98" s="279"/>
      <c r="K98" s="126">
        <v>1.74</v>
      </c>
      <c r="L98" s="160"/>
      <c r="M98" s="160"/>
    </row>
    <row r="99" spans="10:13" x14ac:dyDescent="0.25">
      <c r="J99" s="279"/>
      <c r="K99" s="126">
        <v>1.75</v>
      </c>
      <c r="L99" s="160"/>
      <c r="M99" s="160"/>
    </row>
    <row r="100" spans="10:13" x14ac:dyDescent="0.25">
      <c r="J100" s="279"/>
      <c r="K100" s="126">
        <v>1.76</v>
      </c>
      <c r="L100" s="160"/>
      <c r="M100" s="160"/>
    </row>
    <row r="101" spans="10:13" x14ac:dyDescent="0.25">
      <c r="J101" s="279"/>
      <c r="K101" s="126">
        <v>1.77</v>
      </c>
      <c r="L101" s="160"/>
      <c r="M101" s="160"/>
    </row>
    <row r="102" spans="10:13" x14ac:dyDescent="0.25">
      <c r="J102" s="279"/>
      <c r="K102" s="126">
        <v>1.78</v>
      </c>
      <c r="L102" s="160"/>
      <c r="M102" s="160"/>
    </row>
    <row r="103" spans="10:13" x14ac:dyDescent="0.25">
      <c r="J103" s="279"/>
      <c r="K103" s="126">
        <v>1.79</v>
      </c>
      <c r="L103" s="160"/>
      <c r="M103" s="160"/>
    </row>
    <row r="104" spans="10:13" x14ac:dyDescent="0.25">
      <c r="J104" s="279"/>
      <c r="K104" s="126">
        <v>1.8</v>
      </c>
      <c r="L104" s="160"/>
      <c r="M104" s="160"/>
    </row>
    <row r="105" spans="10:13" x14ac:dyDescent="0.25">
      <c r="J105" s="279"/>
      <c r="K105" s="126">
        <v>1.81</v>
      </c>
      <c r="L105" s="160"/>
      <c r="M105" s="160"/>
    </row>
    <row r="106" spans="10:13" x14ac:dyDescent="0.25">
      <c r="J106" s="279"/>
      <c r="K106" s="126">
        <v>1.82</v>
      </c>
      <c r="L106" s="160"/>
      <c r="M106" s="160"/>
    </row>
    <row r="107" spans="10:13" x14ac:dyDescent="0.25">
      <c r="J107" s="279"/>
      <c r="K107" s="126">
        <v>1.83</v>
      </c>
      <c r="L107" s="160"/>
      <c r="M107" s="160"/>
    </row>
    <row r="108" spans="10:13" x14ac:dyDescent="0.25">
      <c r="J108" s="279"/>
      <c r="K108" s="126">
        <v>1.84</v>
      </c>
      <c r="L108" s="160"/>
      <c r="M108" s="160"/>
    </row>
    <row r="109" spans="10:13" x14ac:dyDescent="0.25">
      <c r="J109" s="279"/>
      <c r="K109" s="126">
        <v>1.85</v>
      </c>
      <c r="L109" s="160"/>
      <c r="M109" s="160"/>
    </row>
    <row r="110" spans="10:13" x14ac:dyDescent="0.25">
      <c r="J110" s="279"/>
      <c r="K110" s="126">
        <v>1.86</v>
      </c>
      <c r="L110" s="160"/>
      <c r="M110" s="160"/>
    </row>
    <row r="111" spans="10:13" x14ac:dyDescent="0.25">
      <c r="J111" s="279"/>
      <c r="K111" s="126">
        <v>1.87</v>
      </c>
      <c r="L111" s="160"/>
      <c r="M111" s="160"/>
    </row>
    <row r="112" spans="10:13" x14ac:dyDescent="0.25">
      <c r="J112" s="279"/>
      <c r="K112" s="126">
        <v>1.88</v>
      </c>
      <c r="L112" s="160"/>
      <c r="M112" s="160"/>
    </row>
    <row r="113" spans="10:13" x14ac:dyDescent="0.25">
      <c r="J113" s="279"/>
      <c r="K113" s="126">
        <v>1.89</v>
      </c>
      <c r="L113" s="160"/>
      <c r="M113" s="160"/>
    </row>
    <row r="114" spans="10:13" x14ac:dyDescent="0.25">
      <c r="J114" s="279"/>
      <c r="K114" s="126">
        <v>1.9</v>
      </c>
      <c r="L114" s="160"/>
      <c r="M114" s="160"/>
    </row>
    <row r="115" spans="10:13" x14ac:dyDescent="0.25">
      <c r="J115" s="279"/>
      <c r="K115" s="126">
        <v>1.91</v>
      </c>
      <c r="L115" s="160"/>
      <c r="M115" s="160"/>
    </row>
    <row r="116" spans="10:13" x14ac:dyDescent="0.25">
      <c r="J116" s="279"/>
      <c r="K116" s="126">
        <v>1.92</v>
      </c>
      <c r="L116" s="160"/>
      <c r="M116" s="160"/>
    </row>
    <row r="117" spans="10:13" x14ac:dyDescent="0.25">
      <c r="J117" s="279"/>
      <c r="K117" s="126">
        <v>1.93</v>
      </c>
      <c r="L117" s="160"/>
      <c r="M117" s="160"/>
    </row>
    <row r="118" spans="10:13" x14ac:dyDescent="0.25">
      <c r="J118" s="279"/>
      <c r="K118" s="126">
        <v>1.94</v>
      </c>
      <c r="L118" s="160"/>
      <c r="M118" s="160"/>
    </row>
    <row r="119" spans="10:13" x14ac:dyDescent="0.25">
      <c r="J119" s="279"/>
      <c r="K119" s="126">
        <v>1.95</v>
      </c>
      <c r="L119" s="160"/>
      <c r="M119" s="160"/>
    </row>
    <row r="120" spans="10:13" x14ac:dyDescent="0.25">
      <c r="J120" s="279"/>
      <c r="K120" s="126">
        <v>1.96</v>
      </c>
      <c r="L120" s="160"/>
      <c r="M120" s="160"/>
    </row>
    <row r="121" spans="10:13" x14ac:dyDescent="0.25">
      <c r="J121" s="279"/>
      <c r="K121" s="126">
        <v>1.97</v>
      </c>
      <c r="L121" s="160"/>
      <c r="M121" s="160"/>
    </row>
    <row r="122" spans="10:13" x14ac:dyDescent="0.25">
      <c r="J122" s="279"/>
      <c r="K122" s="126">
        <v>1.98</v>
      </c>
      <c r="L122" s="160"/>
      <c r="M122" s="160"/>
    </row>
    <row r="123" spans="10:13" x14ac:dyDescent="0.25">
      <c r="J123" s="279"/>
      <c r="K123" s="126">
        <v>1.99</v>
      </c>
      <c r="L123" s="160"/>
      <c r="M123" s="160"/>
    </row>
    <row r="124" spans="10:13" x14ac:dyDescent="0.25">
      <c r="J124" s="279"/>
      <c r="K124" s="126">
        <v>2</v>
      </c>
      <c r="L124" s="160"/>
      <c r="M124" s="160"/>
    </row>
    <row r="125" spans="10:13" x14ac:dyDescent="0.25">
      <c r="J125" s="279"/>
      <c r="K125" s="126">
        <v>2.0099999999999998</v>
      </c>
      <c r="L125" s="160"/>
      <c r="M125" s="160"/>
    </row>
    <row r="126" spans="10:13" x14ac:dyDescent="0.25">
      <c r="J126" s="279"/>
      <c r="K126" s="126">
        <v>2.02</v>
      </c>
      <c r="L126" s="160"/>
      <c r="M126" s="160"/>
    </row>
    <row r="127" spans="10:13" x14ac:dyDescent="0.25">
      <c r="J127" s="279"/>
      <c r="K127" s="126">
        <v>2.0299999999999998</v>
      </c>
      <c r="L127" s="160"/>
      <c r="M127" s="160"/>
    </row>
    <row r="128" spans="10:13" x14ac:dyDescent="0.25">
      <c r="J128" s="279"/>
      <c r="K128" s="126">
        <v>2.04</v>
      </c>
      <c r="L128" s="160"/>
      <c r="M128" s="160"/>
    </row>
    <row r="129" spans="10:13" x14ac:dyDescent="0.25">
      <c r="J129" s="279"/>
      <c r="K129" s="126">
        <v>2.0499999999999998</v>
      </c>
      <c r="L129" s="160"/>
      <c r="M129" s="160"/>
    </row>
    <row r="130" spans="10:13" x14ac:dyDescent="0.25">
      <c r="J130" s="279"/>
      <c r="K130" s="126">
        <v>2.06</v>
      </c>
      <c r="L130" s="160"/>
      <c r="M130" s="160"/>
    </row>
    <row r="131" spans="10:13" x14ac:dyDescent="0.25">
      <c r="J131" s="279"/>
      <c r="K131" s="126">
        <v>2.0699999999999998</v>
      </c>
      <c r="L131" s="160"/>
      <c r="M131" s="160"/>
    </row>
    <row r="132" spans="10:13" x14ac:dyDescent="0.25">
      <c r="J132" s="279"/>
      <c r="K132" s="126">
        <v>2.08</v>
      </c>
      <c r="L132" s="160"/>
      <c r="M132" s="160"/>
    </row>
    <row r="133" spans="10:13" x14ac:dyDescent="0.25">
      <c r="J133" s="279"/>
      <c r="K133" s="126">
        <v>2.09</v>
      </c>
      <c r="L133" s="160"/>
      <c r="M133" s="160"/>
    </row>
    <row r="134" spans="10:13" x14ac:dyDescent="0.25">
      <c r="J134" s="279"/>
      <c r="K134" s="126">
        <v>2.1</v>
      </c>
      <c r="L134" s="160"/>
      <c r="M134" s="160"/>
    </row>
    <row r="135" spans="10:13" x14ac:dyDescent="0.25">
      <c r="J135" s="279"/>
      <c r="K135" s="126">
        <v>2.11</v>
      </c>
      <c r="L135" s="160"/>
      <c r="M135" s="160"/>
    </row>
    <row r="136" spans="10:13" x14ac:dyDescent="0.25">
      <c r="J136" s="279"/>
      <c r="K136" s="126">
        <v>2.12</v>
      </c>
      <c r="L136" s="160"/>
      <c r="M136" s="160"/>
    </row>
    <row r="137" spans="10:13" x14ac:dyDescent="0.25">
      <c r="J137" s="279"/>
      <c r="K137" s="126">
        <v>2.13</v>
      </c>
      <c r="L137" s="160"/>
      <c r="M137" s="160"/>
    </row>
    <row r="138" spans="10:13" x14ac:dyDescent="0.25">
      <c r="J138" s="279"/>
      <c r="K138" s="126">
        <v>2.14</v>
      </c>
      <c r="L138" s="160"/>
      <c r="M138" s="160"/>
    </row>
    <row r="139" spans="10:13" x14ac:dyDescent="0.25">
      <c r="J139" s="279"/>
      <c r="K139" s="126">
        <v>2.15</v>
      </c>
      <c r="L139" s="160"/>
      <c r="M139" s="160"/>
    </row>
    <row r="140" spans="10:13" x14ac:dyDescent="0.25">
      <c r="J140" s="279"/>
      <c r="K140" s="126">
        <v>2.16</v>
      </c>
      <c r="L140" s="160"/>
      <c r="M140" s="160"/>
    </row>
    <row r="141" spans="10:13" x14ac:dyDescent="0.25">
      <c r="J141" s="279"/>
      <c r="K141" s="126">
        <v>2.17</v>
      </c>
      <c r="L141" s="160"/>
      <c r="M141" s="160"/>
    </row>
    <row r="142" spans="10:13" x14ac:dyDescent="0.25">
      <c r="J142" s="279"/>
      <c r="K142" s="126">
        <v>2.1800000000000002</v>
      </c>
      <c r="L142" s="160"/>
      <c r="M142" s="160"/>
    </row>
    <row r="143" spans="10:13" x14ac:dyDescent="0.25">
      <c r="J143" s="279"/>
      <c r="K143" s="126">
        <v>2.19</v>
      </c>
      <c r="L143" s="160"/>
      <c r="M143" s="160"/>
    </row>
    <row r="144" spans="10:13" x14ac:dyDescent="0.25">
      <c r="J144" s="279"/>
      <c r="K144" s="126">
        <v>2.2000000000000002</v>
      </c>
      <c r="L144" s="160"/>
      <c r="M144" s="160"/>
    </row>
    <row r="145" spans="10:13" x14ac:dyDescent="0.25">
      <c r="J145" s="279"/>
      <c r="K145" s="126">
        <v>2.21</v>
      </c>
      <c r="L145" s="160"/>
      <c r="M145" s="160"/>
    </row>
    <row r="146" spans="10:13" x14ac:dyDescent="0.25">
      <c r="J146" s="279"/>
      <c r="K146" s="126">
        <v>2.21999999999999</v>
      </c>
      <c r="L146" s="160"/>
      <c r="M146" s="160"/>
    </row>
    <row r="147" spans="10:13" x14ac:dyDescent="0.25">
      <c r="J147" s="279"/>
      <c r="K147" s="126">
        <v>2.23</v>
      </c>
      <c r="L147" s="160"/>
      <c r="M147" s="160"/>
    </row>
    <row r="148" spans="10:13" x14ac:dyDescent="0.25">
      <c r="J148" s="279"/>
      <c r="K148" s="126">
        <v>2.23999999999999</v>
      </c>
      <c r="L148" s="160"/>
      <c r="M148" s="160"/>
    </row>
    <row r="149" spans="10:13" x14ac:dyDescent="0.25">
      <c r="J149" s="279"/>
      <c r="K149" s="126">
        <v>2.25</v>
      </c>
      <c r="L149" s="160"/>
      <c r="M149" s="160"/>
    </row>
    <row r="150" spans="10:13" x14ac:dyDescent="0.25">
      <c r="J150" s="279"/>
      <c r="K150" s="126">
        <v>2.25999999999999</v>
      </c>
      <c r="L150" s="160"/>
      <c r="M150" s="160"/>
    </row>
    <row r="151" spans="10:13" x14ac:dyDescent="0.25">
      <c r="J151" s="279"/>
      <c r="K151" s="126">
        <v>2.2699999999999898</v>
      </c>
      <c r="L151" s="160"/>
      <c r="M151" s="160"/>
    </row>
    <row r="152" spans="10:13" x14ac:dyDescent="0.25">
      <c r="J152" s="279"/>
      <c r="K152" s="126">
        <v>2.27999999999999</v>
      </c>
      <c r="L152" s="160"/>
      <c r="M152" s="160"/>
    </row>
    <row r="153" spans="10:13" x14ac:dyDescent="0.25">
      <c r="J153" s="279"/>
      <c r="K153" s="126">
        <v>2.2899999999999898</v>
      </c>
      <c r="L153" s="160"/>
      <c r="M153" s="160"/>
    </row>
    <row r="154" spans="10:13" x14ac:dyDescent="0.25">
      <c r="J154" s="279"/>
      <c r="K154" s="126">
        <v>2.2999999999999901</v>
      </c>
      <c r="L154" s="160"/>
      <c r="M154" s="160"/>
    </row>
    <row r="155" spans="10:13" x14ac:dyDescent="0.25">
      <c r="J155" s="279"/>
      <c r="K155" s="126">
        <v>2.3099999999999898</v>
      </c>
      <c r="L155" s="160"/>
      <c r="M155" s="160"/>
    </row>
    <row r="156" spans="10:13" x14ac:dyDescent="0.25">
      <c r="J156" s="279"/>
      <c r="K156" s="126">
        <v>2.3199999999999901</v>
      </c>
      <c r="L156" s="160"/>
      <c r="M156" s="160"/>
    </row>
    <row r="157" spans="10:13" x14ac:dyDescent="0.25">
      <c r="J157" s="279"/>
      <c r="K157" s="126">
        <v>2.3299999999999899</v>
      </c>
      <c r="L157" s="160"/>
      <c r="M157" s="160"/>
    </row>
    <row r="158" spans="10:13" x14ac:dyDescent="0.25">
      <c r="J158" s="279"/>
      <c r="K158" s="126">
        <v>2.3399999999999901</v>
      </c>
      <c r="L158" s="160"/>
      <c r="M158" s="160"/>
    </row>
    <row r="159" spans="10:13" x14ac:dyDescent="0.25">
      <c r="J159" s="279"/>
      <c r="K159" s="126">
        <v>2.3499999999999899</v>
      </c>
      <c r="L159" s="160"/>
      <c r="M159" s="160"/>
    </row>
    <row r="160" spans="10:13" x14ac:dyDescent="0.25">
      <c r="J160" s="279"/>
      <c r="K160" s="126">
        <v>2.3599999999999901</v>
      </c>
      <c r="L160" s="160"/>
      <c r="M160" s="160"/>
    </row>
    <row r="161" spans="10:13" x14ac:dyDescent="0.25">
      <c r="J161" s="279"/>
      <c r="K161" s="126">
        <v>2.3699999999999899</v>
      </c>
      <c r="L161" s="160"/>
      <c r="M161" s="160"/>
    </row>
    <row r="162" spans="10:13" x14ac:dyDescent="0.25">
      <c r="J162" s="279"/>
      <c r="K162" s="126">
        <v>2.3799999999999901</v>
      </c>
      <c r="L162" s="160"/>
      <c r="M162" s="160"/>
    </row>
    <row r="163" spans="10:13" x14ac:dyDescent="0.25">
      <c r="J163" s="279"/>
      <c r="K163" s="126">
        <v>2.3899999999999899</v>
      </c>
      <c r="L163" s="160"/>
      <c r="M163" s="160"/>
    </row>
    <row r="164" spans="10:13" x14ac:dyDescent="0.25">
      <c r="J164" s="279"/>
      <c r="K164" s="126">
        <v>2.3999999999999901</v>
      </c>
      <c r="L164" s="160"/>
      <c r="M164" s="160"/>
    </row>
    <row r="165" spans="10:13" x14ac:dyDescent="0.25">
      <c r="J165" s="279"/>
      <c r="K165" s="126">
        <v>2.4099999999999899</v>
      </c>
      <c r="L165" s="160"/>
      <c r="M165" s="160"/>
    </row>
    <row r="166" spans="10:13" x14ac:dyDescent="0.25">
      <c r="J166" s="279"/>
      <c r="K166" s="126">
        <v>2.4199999999999902</v>
      </c>
      <c r="L166" s="160"/>
      <c r="M166" s="160"/>
    </row>
    <row r="167" spans="10:13" x14ac:dyDescent="0.25">
      <c r="J167" s="279"/>
      <c r="K167" s="126">
        <v>2.4299999999999899</v>
      </c>
      <c r="L167" s="160"/>
      <c r="M167" s="160"/>
    </row>
    <row r="168" spans="10:13" x14ac:dyDescent="0.25">
      <c r="J168" s="279"/>
      <c r="K168" s="126">
        <v>2.4399999999999902</v>
      </c>
      <c r="L168" s="160"/>
      <c r="M168" s="160"/>
    </row>
    <row r="169" spans="10:13" x14ac:dyDescent="0.25">
      <c r="J169" s="279"/>
      <c r="K169" s="126">
        <v>2.44999999999999</v>
      </c>
      <c r="L169" s="160"/>
      <c r="M169" s="160"/>
    </row>
    <row r="170" spans="10:13" x14ac:dyDescent="0.25">
      <c r="J170" s="279"/>
      <c r="K170" s="126">
        <v>2.4599999999999902</v>
      </c>
      <c r="L170" s="160"/>
      <c r="M170" s="160"/>
    </row>
    <row r="171" spans="10:13" x14ac:dyDescent="0.25">
      <c r="J171" s="279"/>
      <c r="K171" s="126">
        <v>2.46999999999999</v>
      </c>
      <c r="L171" s="160"/>
      <c r="M171" s="160"/>
    </row>
    <row r="172" spans="10:13" x14ac:dyDescent="0.25">
      <c r="J172" s="279"/>
      <c r="K172" s="126">
        <v>2.4799999999999902</v>
      </c>
      <c r="L172" s="160"/>
      <c r="M172" s="160"/>
    </row>
    <row r="173" spans="10:13" x14ac:dyDescent="0.25">
      <c r="J173" s="279"/>
      <c r="K173" s="126">
        <v>2.48999999999999</v>
      </c>
      <c r="L173" s="160"/>
      <c r="M173" s="160"/>
    </row>
    <row r="174" spans="10:13" x14ac:dyDescent="0.25">
      <c r="J174" s="279"/>
      <c r="K174" s="126">
        <v>2.4999999999999898</v>
      </c>
      <c r="L174" s="160"/>
      <c r="M174" s="160"/>
    </row>
    <row r="175" spans="10:13" x14ac:dyDescent="0.25">
      <c r="J175" s="279"/>
      <c r="K175" s="126">
        <v>2.50999999999999</v>
      </c>
      <c r="L175" s="160"/>
      <c r="M175" s="160"/>
    </row>
    <row r="176" spans="10:13" x14ac:dyDescent="0.25">
      <c r="J176" s="279"/>
      <c r="K176" s="126">
        <v>2.5199999999999898</v>
      </c>
      <c r="L176" s="160"/>
      <c r="M176" s="160"/>
    </row>
    <row r="177" spans="10:13" x14ac:dyDescent="0.25">
      <c r="J177" s="279"/>
      <c r="K177" s="126">
        <v>2.52999999999999</v>
      </c>
      <c r="L177" s="160"/>
      <c r="M177" s="160"/>
    </row>
    <row r="178" spans="10:13" x14ac:dyDescent="0.25">
      <c r="J178" s="279"/>
      <c r="K178" s="126">
        <v>2.5399999999999898</v>
      </c>
      <c r="L178" s="160"/>
      <c r="M178" s="160"/>
    </row>
    <row r="179" spans="10:13" x14ac:dyDescent="0.25">
      <c r="J179" s="279"/>
      <c r="K179" s="126">
        <v>2.5499999999999901</v>
      </c>
      <c r="L179" s="160"/>
      <c r="M179" s="160"/>
    </row>
    <row r="180" spans="10:13" x14ac:dyDescent="0.25">
      <c r="J180" s="279"/>
      <c r="K180" s="126">
        <v>2.5599999999999898</v>
      </c>
      <c r="L180" s="160"/>
      <c r="M180" s="160"/>
    </row>
    <row r="181" spans="10:13" x14ac:dyDescent="0.25">
      <c r="J181" s="279"/>
      <c r="K181" s="126">
        <v>2.5699999999999901</v>
      </c>
      <c r="L181" s="160"/>
      <c r="M181" s="160"/>
    </row>
    <row r="182" spans="10:13" x14ac:dyDescent="0.25">
      <c r="J182" s="279"/>
      <c r="K182" s="126">
        <v>2.5799999999999899</v>
      </c>
      <c r="L182" s="160"/>
      <c r="M182" s="160"/>
    </row>
    <row r="183" spans="10:13" x14ac:dyDescent="0.25">
      <c r="J183" s="279"/>
      <c r="K183" s="126">
        <v>2.5899999999999901</v>
      </c>
      <c r="L183" s="160"/>
      <c r="M183" s="160"/>
    </row>
    <row r="184" spans="10:13" x14ac:dyDescent="0.25">
      <c r="J184" s="279"/>
      <c r="K184" s="126">
        <v>2.5999999999999899</v>
      </c>
      <c r="L184" s="160"/>
      <c r="M184" s="160"/>
    </row>
    <row r="185" spans="10:13" x14ac:dyDescent="0.25">
      <c r="J185" s="279"/>
      <c r="K185" s="126">
        <v>2.6099999999999901</v>
      </c>
      <c r="L185" s="160"/>
      <c r="M185" s="160"/>
    </row>
    <row r="186" spans="10:13" x14ac:dyDescent="0.25">
      <c r="J186" s="279"/>
      <c r="K186" s="126">
        <v>2.6199999999999899</v>
      </c>
      <c r="L186" s="160"/>
      <c r="M186" s="160"/>
    </row>
    <row r="187" spans="10:13" x14ac:dyDescent="0.25">
      <c r="J187" s="279"/>
      <c r="K187" s="126">
        <v>2.6299999999999901</v>
      </c>
      <c r="L187" s="160"/>
      <c r="M187" s="160"/>
    </row>
    <row r="188" spans="10:13" x14ac:dyDescent="0.25">
      <c r="J188" s="279"/>
      <c r="K188" s="126">
        <v>2.6399999999999899</v>
      </c>
      <c r="L188" s="160"/>
      <c r="M188" s="160"/>
    </row>
    <row r="189" spans="10:13" x14ac:dyDescent="0.25">
      <c r="J189" s="279"/>
      <c r="K189" s="126">
        <v>2.6499999999999901</v>
      </c>
      <c r="L189" s="160"/>
      <c r="M189" s="160"/>
    </row>
    <row r="190" spans="10:13" x14ac:dyDescent="0.25">
      <c r="J190" s="279"/>
      <c r="K190" s="126">
        <v>2.6599999999999899</v>
      </c>
      <c r="L190" s="160"/>
      <c r="M190" s="160"/>
    </row>
    <row r="191" spans="10:13" x14ac:dyDescent="0.25">
      <c r="J191" s="279"/>
      <c r="K191" s="126">
        <v>2.6699999999999902</v>
      </c>
      <c r="L191" s="160"/>
      <c r="M191" s="160"/>
    </row>
    <row r="192" spans="10:13" x14ac:dyDescent="0.25">
      <c r="J192" s="279"/>
      <c r="K192" s="126">
        <v>2.6799999999999899</v>
      </c>
      <c r="L192" s="160"/>
      <c r="M192" s="160"/>
    </row>
    <row r="193" spans="10:13" x14ac:dyDescent="0.25">
      <c r="J193" s="279"/>
      <c r="K193" s="126">
        <v>2.6899999999999902</v>
      </c>
      <c r="L193" s="160"/>
      <c r="M193" s="160"/>
    </row>
    <row r="194" spans="10:13" x14ac:dyDescent="0.25">
      <c r="J194" s="279"/>
      <c r="K194" s="126">
        <v>2.69999999999999</v>
      </c>
      <c r="L194" s="160"/>
      <c r="M194" s="160"/>
    </row>
    <row r="195" spans="10:13" x14ac:dyDescent="0.25">
      <c r="J195" s="279"/>
      <c r="K195" s="126">
        <v>2.7099999999999902</v>
      </c>
      <c r="L195" s="160"/>
      <c r="M195" s="160"/>
    </row>
    <row r="196" spans="10:13" x14ac:dyDescent="0.25">
      <c r="J196" s="279"/>
      <c r="K196" s="126">
        <v>2.71999999999999</v>
      </c>
      <c r="L196" s="160"/>
      <c r="M196" s="160"/>
    </row>
    <row r="197" spans="10:13" x14ac:dyDescent="0.25">
      <c r="J197" s="279"/>
      <c r="K197" s="126">
        <v>2.7299999999999902</v>
      </c>
      <c r="L197" s="160"/>
      <c r="M197" s="160"/>
    </row>
    <row r="198" spans="10:13" x14ac:dyDescent="0.25">
      <c r="J198" s="279"/>
      <c r="K198" s="126">
        <v>2.73999999999999</v>
      </c>
      <c r="L198" s="160"/>
      <c r="M198" s="160"/>
    </row>
    <row r="199" spans="10:13" x14ac:dyDescent="0.25">
      <c r="J199" s="279"/>
      <c r="K199" s="126">
        <v>2.7499999999999898</v>
      </c>
      <c r="L199" s="160"/>
      <c r="M199" s="160"/>
    </row>
    <row r="200" spans="10:13" x14ac:dyDescent="0.25">
      <c r="J200" s="279"/>
      <c r="K200" s="126">
        <v>2.75999999999999</v>
      </c>
      <c r="L200" s="160"/>
      <c r="M200" s="160"/>
    </row>
    <row r="201" spans="10:13" x14ac:dyDescent="0.25">
      <c r="J201" s="279"/>
      <c r="K201" s="126">
        <v>2.76999999999998</v>
      </c>
      <c r="L201" s="160"/>
      <c r="M201" s="160"/>
    </row>
    <row r="202" spans="10:13" x14ac:dyDescent="0.25">
      <c r="J202" s="279"/>
      <c r="K202" s="126">
        <v>2.77999999999999</v>
      </c>
      <c r="L202" s="160"/>
      <c r="M202" s="160"/>
    </row>
    <row r="203" spans="10:13" x14ac:dyDescent="0.25">
      <c r="J203" s="279"/>
      <c r="K203" s="126">
        <v>2.7899999999999801</v>
      </c>
      <c r="L203" s="160"/>
      <c r="M203" s="160"/>
    </row>
    <row r="204" spans="10:13" x14ac:dyDescent="0.25">
      <c r="J204" s="279"/>
      <c r="K204" s="126">
        <v>2.7999999999999901</v>
      </c>
      <c r="L204" s="160"/>
      <c r="M204" s="160"/>
    </row>
    <row r="205" spans="10:13" x14ac:dyDescent="0.25">
      <c r="J205" s="279"/>
      <c r="K205" s="126">
        <v>2.8099999999999898</v>
      </c>
      <c r="L205" s="160"/>
      <c r="M205" s="160"/>
    </row>
    <row r="206" spans="10:13" x14ac:dyDescent="0.25">
      <c r="J206" s="279"/>
      <c r="K206" s="126">
        <v>2.8199999999999901</v>
      </c>
      <c r="L206" s="160"/>
      <c r="M206" s="160"/>
    </row>
    <row r="207" spans="10:13" x14ac:dyDescent="0.25">
      <c r="J207" s="279"/>
      <c r="K207" s="126">
        <v>2.8299999999999899</v>
      </c>
      <c r="L207" s="160"/>
      <c r="M207" s="160"/>
    </row>
    <row r="208" spans="10:13" x14ac:dyDescent="0.25">
      <c r="J208" s="279"/>
      <c r="K208" s="126">
        <v>2.8399999999999901</v>
      </c>
      <c r="L208" s="160"/>
      <c r="M208" s="160"/>
    </row>
    <row r="209" spans="10:13" x14ac:dyDescent="0.25">
      <c r="J209" s="279"/>
      <c r="K209" s="126">
        <v>2.8499999999999899</v>
      </c>
      <c r="L209" s="160"/>
      <c r="M209" s="160"/>
    </row>
    <row r="210" spans="10:13" x14ac:dyDescent="0.25">
      <c r="J210" s="279"/>
      <c r="K210" s="126">
        <v>2.8599999999999901</v>
      </c>
      <c r="L210" s="160"/>
      <c r="M210" s="160"/>
    </row>
    <row r="211" spans="10:13" x14ac:dyDescent="0.25">
      <c r="J211" s="279"/>
      <c r="K211" s="126">
        <v>2.8699999999999899</v>
      </c>
      <c r="L211" s="160"/>
      <c r="M211" s="160"/>
    </row>
    <row r="212" spans="10:13" x14ac:dyDescent="0.25">
      <c r="J212" s="279"/>
      <c r="K212" s="126">
        <v>2.8799999999999901</v>
      </c>
      <c r="L212" s="160"/>
      <c r="M212" s="160"/>
    </row>
    <row r="213" spans="10:13" x14ac:dyDescent="0.25">
      <c r="J213" s="279"/>
      <c r="K213" s="126">
        <v>2.8899999999999899</v>
      </c>
      <c r="L213" s="160"/>
      <c r="M213" s="160"/>
    </row>
    <row r="214" spans="10:13" x14ac:dyDescent="0.25">
      <c r="J214" s="279"/>
      <c r="K214" s="126">
        <v>2.8999999999999901</v>
      </c>
      <c r="L214" s="160"/>
      <c r="M214" s="160"/>
    </row>
    <row r="215" spans="10:13" x14ac:dyDescent="0.25">
      <c r="J215" s="279"/>
      <c r="K215" s="126">
        <v>2.9099999999999899</v>
      </c>
      <c r="L215" s="160"/>
      <c r="M215" s="160"/>
    </row>
    <row r="216" spans="10:13" x14ac:dyDescent="0.25">
      <c r="J216" s="279"/>
      <c r="K216" s="126">
        <v>2.9199999999999902</v>
      </c>
      <c r="L216" s="160"/>
      <c r="M216" s="160"/>
    </row>
    <row r="217" spans="10:13" x14ac:dyDescent="0.25">
      <c r="J217" s="279"/>
      <c r="K217" s="126">
        <v>2.9299999999999899</v>
      </c>
      <c r="L217" s="160"/>
      <c r="M217" s="160"/>
    </row>
    <row r="218" spans="10:13" x14ac:dyDescent="0.25">
      <c r="J218" s="279"/>
      <c r="K218" s="126">
        <v>2.9399999999999902</v>
      </c>
      <c r="L218" s="160"/>
      <c r="M218" s="160"/>
    </row>
    <row r="219" spans="10:13" x14ac:dyDescent="0.25">
      <c r="J219" s="279"/>
      <c r="K219" s="126">
        <v>2.94999999999999</v>
      </c>
      <c r="L219" s="160"/>
      <c r="M219" s="160"/>
    </row>
    <row r="220" spans="10:13" x14ac:dyDescent="0.25">
      <c r="J220" s="279"/>
      <c r="K220" s="126">
        <v>2.9599999999999902</v>
      </c>
      <c r="L220" s="160"/>
      <c r="M220" s="160"/>
    </row>
    <row r="221" spans="10:13" x14ac:dyDescent="0.25">
      <c r="J221" s="279"/>
      <c r="K221" s="126">
        <v>2.96999999999999</v>
      </c>
      <c r="L221" s="160"/>
      <c r="M221" s="160"/>
    </row>
    <row r="222" spans="10:13" x14ac:dyDescent="0.25">
      <c r="J222" s="279"/>
      <c r="K222" s="126">
        <v>2.9799999999999902</v>
      </c>
      <c r="L222" s="160"/>
      <c r="M222" s="160"/>
    </row>
    <row r="223" spans="10:13" x14ac:dyDescent="0.25">
      <c r="J223" s="279"/>
      <c r="K223" s="126">
        <v>2.99</v>
      </c>
      <c r="L223" s="160"/>
      <c r="M223" s="160"/>
    </row>
    <row r="224" spans="10:13" x14ac:dyDescent="0.25">
      <c r="J224" s="279"/>
      <c r="K224" s="126">
        <v>3</v>
      </c>
      <c r="L224" s="160"/>
      <c r="M224" s="160"/>
    </row>
    <row r="225" spans="10:13" x14ac:dyDescent="0.25">
      <c r="J225" s="279"/>
      <c r="K225" s="126">
        <v>3.01</v>
      </c>
      <c r="L225" s="160"/>
      <c r="M225" s="160"/>
    </row>
    <row r="226" spans="10:13" x14ac:dyDescent="0.25">
      <c r="J226" s="279"/>
      <c r="K226" s="126">
        <v>3.02</v>
      </c>
      <c r="L226" s="160"/>
      <c r="M226" s="160"/>
    </row>
    <row r="227" spans="10:13" x14ac:dyDescent="0.25">
      <c r="J227" s="279"/>
      <c r="K227" s="126">
        <v>3.03</v>
      </c>
      <c r="L227" s="160"/>
      <c r="M227" s="160"/>
    </row>
    <row r="228" spans="10:13" x14ac:dyDescent="0.25">
      <c r="J228" s="279"/>
      <c r="K228" s="126">
        <v>3.04</v>
      </c>
      <c r="L228" s="160"/>
      <c r="M228" s="160"/>
    </row>
    <row r="229" spans="10:13" x14ac:dyDescent="0.25">
      <c r="J229" s="279"/>
      <c r="K229" s="126">
        <v>3.05</v>
      </c>
      <c r="L229" s="160"/>
      <c r="M229" s="160"/>
    </row>
    <row r="230" spans="10:13" x14ac:dyDescent="0.25">
      <c r="J230" s="279"/>
      <c r="K230" s="126">
        <v>3.06</v>
      </c>
      <c r="L230" s="160"/>
      <c r="M230" s="160"/>
    </row>
    <row r="231" spans="10:13" x14ac:dyDescent="0.25">
      <c r="J231" s="279"/>
      <c r="K231" s="126">
        <v>3.07</v>
      </c>
      <c r="L231" s="160"/>
      <c r="M231" s="160"/>
    </row>
    <row r="232" spans="10:13" x14ac:dyDescent="0.25">
      <c r="J232" s="279"/>
      <c r="K232" s="126">
        <v>3.08</v>
      </c>
      <c r="L232" s="160"/>
      <c r="M232" s="160"/>
    </row>
    <row r="233" spans="10:13" x14ac:dyDescent="0.25">
      <c r="J233" s="279"/>
      <c r="K233" s="126">
        <v>3.09</v>
      </c>
      <c r="L233" s="160"/>
      <c r="M233" s="160"/>
    </row>
    <row r="234" spans="10:13" x14ac:dyDescent="0.25">
      <c r="J234" s="279"/>
      <c r="K234" s="126">
        <v>3.1</v>
      </c>
      <c r="L234" s="160"/>
      <c r="M234" s="160"/>
    </row>
    <row r="235" spans="10:13" x14ac:dyDescent="0.25">
      <c r="J235" s="279"/>
      <c r="K235" s="126">
        <v>3.11</v>
      </c>
      <c r="L235" s="160"/>
      <c r="M235" s="160"/>
    </row>
    <row r="236" spans="10:13" x14ac:dyDescent="0.25">
      <c r="J236" s="279"/>
      <c r="K236" s="126">
        <v>3.12</v>
      </c>
      <c r="L236" s="160"/>
      <c r="M236" s="160"/>
    </row>
    <row r="237" spans="10:13" x14ac:dyDescent="0.25">
      <c r="J237" s="279"/>
      <c r="K237" s="126">
        <v>3.13</v>
      </c>
      <c r="L237" s="160"/>
      <c r="M237" s="160"/>
    </row>
    <row r="238" spans="10:13" x14ac:dyDescent="0.25">
      <c r="J238" s="279"/>
      <c r="K238" s="126">
        <v>3.14</v>
      </c>
      <c r="L238" s="160"/>
      <c r="M238" s="160"/>
    </row>
    <row r="239" spans="10:13" x14ac:dyDescent="0.25">
      <c r="J239" s="279"/>
      <c r="K239" s="126">
        <v>3.15</v>
      </c>
      <c r="L239" s="160"/>
      <c r="M239" s="160"/>
    </row>
    <row r="240" spans="10:13" x14ac:dyDescent="0.25">
      <c r="J240" s="279"/>
      <c r="K240" s="126">
        <v>3.16</v>
      </c>
      <c r="L240" s="160"/>
      <c r="M240" s="160"/>
    </row>
    <row r="241" spans="10:13" x14ac:dyDescent="0.25">
      <c r="J241" s="279"/>
      <c r="K241" s="126">
        <v>3.17</v>
      </c>
      <c r="L241" s="160"/>
      <c r="M241" s="160"/>
    </row>
    <row r="242" spans="10:13" x14ac:dyDescent="0.25">
      <c r="J242" s="279"/>
      <c r="K242" s="126">
        <v>3.18</v>
      </c>
      <c r="L242" s="160"/>
      <c r="M242" s="160"/>
    </row>
    <row r="243" spans="10:13" x14ac:dyDescent="0.25">
      <c r="J243" s="279"/>
      <c r="K243" s="126">
        <v>3.19</v>
      </c>
      <c r="L243" s="160"/>
      <c r="M243" s="160"/>
    </row>
    <row r="244" spans="10:13" x14ac:dyDescent="0.25">
      <c r="J244" s="279"/>
      <c r="K244" s="126">
        <v>3.2</v>
      </c>
      <c r="L244" s="160"/>
      <c r="M244" s="160"/>
    </row>
    <row r="245" spans="10:13" x14ac:dyDescent="0.25">
      <c r="J245" s="279"/>
      <c r="K245" s="126">
        <v>3.21</v>
      </c>
      <c r="L245" s="160"/>
      <c r="M245" s="160"/>
    </row>
    <row r="246" spans="10:13" x14ac:dyDescent="0.25">
      <c r="J246" s="279"/>
      <c r="K246" s="126">
        <v>3.22</v>
      </c>
      <c r="L246" s="160"/>
      <c r="M246" s="160"/>
    </row>
    <row r="247" spans="10:13" x14ac:dyDescent="0.25">
      <c r="J247" s="279"/>
      <c r="K247" s="126">
        <v>3.23</v>
      </c>
      <c r="L247" s="160"/>
      <c r="M247" s="160"/>
    </row>
    <row r="248" spans="10:13" x14ac:dyDescent="0.25">
      <c r="J248" s="279"/>
      <c r="K248" s="126">
        <v>3.24</v>
      </c>
      <c r="L248" s="160"/>
      <c r="M248" s="160"/>
    </row>
    <row r="249" spans="10:13" x14ac:dyDescent="0.25">
      <c r="J249" s="279"/>
      <c r="K249" s="126">
        <v>3.25</v>
      </c>
      <c r="L249" s="160"/>
      <c r="M249" s="160"/>
    </row>
    <row r="250" spans="10:13" x14ac:dyDescent="0.25">
      <c r="J250" s="279"/>
      <c r="K250" s="126">
        <v>3.26</v>
      </c>
      <c r="L250" s="160"/>
      <c r="M250" s="160"/>
    </row>
    <row r="251" spans="10:13" x14ac:dyDescent="0.25">
      <c r="J251" s="279"/>
      <c r="K251" s="126">
        <v>3.27</v>
      </c>
      <c r="L251" s="160"/>
      <c r="M251" s="160"/>
    </row>
    <row r="252" spans="10:13" x14ac:dyDescent="0.25">
      <c r="J252" s="279"/>
      <c r="K252" s="126">
        <v>3.28</v>
      </c>
      <c r="L252" s="160"/>
      <c r="M252" s="160"/>
    </row>
    <row r="253" spans="10:13" x14ac:dyDescent="0.25">
      <c r="J253" s="279"/>
      <c r="K253" s="126">
        <v>3.29</v>
      </c>
      <c r="L253" s="160"/>
      <c r="M253" s="160"/>
    </row>
    <row r="254" spans="10:13" x14ac:dyDescent="0.25">
      <c r="J254" s="279"/>
      <c r="K254" s="126">
        <v>3.3</v>
      </c>
      <c r="L254" s="160"/>
      <c r="M254" s="160"/>
    </row>
    <row r="255" spans="10:13" x14ac:dyDescent="0.25">
      <c r="J255" s="279"/>
      <c r="K255" s="126">
        <v>3.31</v>
      </c>
      <c r="L255" s="160"/>
      <c r="M255" s="160"/>
    </row>
    <row r="256" spans="10:13" x14ac:dyDescent="0.25">
      <c r="J256" s="279"/>
      <c r="K256" s="126">
        <v>3.32</v>
      </c>
      <c r="L256" s="160"/>
      <c r="M256" s="160"/>
    </row>
    <row r="257" spans="10:13" x14ac:dyDescent="0.25">
      <c r="J257" s="279"/>
      <c r="K257" s="126">
        <v>3.33</v>
      </c>
      <c r="L257" s="160"/>
      <c r="M257" s="160"/>
    </row>
    <row r="258" spans="10:13" x14ac:dyDescent="0.25">
      <c r="J258" s="279"/>
      <c r="K258" s="126">
        <v>3.34</v>
      </c>
      <c r="L258" s="160"/>
      <c r="M258" s="160"/>
    </row>
    <row r="259" spans="10:13" x14ac:dyDescent="0.25">
      <c r="J259" s="280"/>
      <c r="K259" s="126">
        <v>3.35</v>
      </c>
      <c r="L259" s="160"/>
      <c r="M259" s="160"/>
    </row>
  </sheetData>
  <sheetProtection algorithmName="SHA-512" hashValue="XUJxDWEHgLifD2FA8QQxh/i38WBcMZFjiuZgWMDBrgD6xYTqKCgrWyxN+xGuwfXD+gc2MG8PCUxtVw6Sr8DYEg==" saltValue="lVMUulcv1hyA2EugImy5fw==" spinCount="100000" sheet="1" objects="1" scenarios="1"/>
  <mergeCells count="27">
    <mergeCell ref="AZ4:AZ5"/>
    <mergeCell ref="AN2:BA2"/>
    <mergeCell ref="AW4:AW7"/>
    <mergeCell ref="V2:W2"/>
    <mergeCell ref="V4:V5"/>
    <mergeCell ref="AH2:AI2"/>
    <mergeCell ref="AH4:AH6"/>
    <mergeCell ref="Y2:AC2"/>
    <mergeCell ref="Z4:Z7"/>
    <mergeCell ref="AE2:AF2"/>
    <mergeCell ref="AE4:AE6"/>
    <mergeCell ref="AQ4:AQ5"/>
    <mergeCell ref="AK2:AL2"/>
    <mergeCell ref="AK4:AK5"/>
    <mergeCell ref="AN4:AN56"/>
    <mergeCell ref="AT4:AT5"/>
    <mergeCell ref="S4:S5"/>
    <mergeCell ref="J2:N2"/>
    <mergeCell ref="P2:Q2"/>
    <mergeCell ref="P4:P5"/>
    <mergeCell ref="S2:T2"/>
    <mergeCell ref="M4:M6"/>
    <mergeCell ref="A4:A5"/>
    <mergeCell ref="D4:D67"/>
    <mergeCell ref="A2:H2"/>
    <mergeCell ref="J4:J259"/>
    <mergeCell ref="G4:G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9A95B4F57C1418E27FEE4CD7E9D15" ma:contentTypeVersion="18" ma:contentTypeDescription="Create a new document." ma:contentTypeScope="" ma:versionID="d52118b4f584a372570f6ba0ac598d28">
  <xsd:schema xmlns:xsd="http://www.w3.org/2001/XMLSchema" xmlns:xs="http://www.w3.org/2001/XMLSchema" xmlns:p="http://schemas.microsoft.com/office/2006/metadata/properties" xmlns:ns2="dda34308-2439-47f4-a9f1-4e4f5e730ece" xmlns:ns3="5739b451-36b3-421a-ac5e-1226aa2bdef2" xmlns:ns4="c4672b8b-43e2-4139-8cd1-27ad03f081e7" targetNamespace="http://schemas.microsoft.com/office/2006/metadata/properties" ma:root="true" ma:fieldsID="2b75e2c4971c361def15029da8aeb62e" ns2:_="" ns3:_="" ns4:_="">
    <xsd:import namespace="dda34308-2439-47f4-a9f1-4e4f5e730ece"/>
    <xsd:import namespace="5739b451-36b3-421a-ac5e-1226aa2bdef2"/>
    <xsd:import namespace="c4672b8b-43e2-4139-8cd1-27ad03f081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Loca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a34308-2439-47f4-a9f1-4e4f5e730ec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9b451-36b3-421a-ac5e-1226aa2bde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7ae9cabe-f4d8-44ae-a6f0-8d11cb15c1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72b8b-43e2-4139-8cd1-27ad03f081e7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da84ca77-17f3-42e9-9862-f8f9097af5ee}" ma:internalName="TaxCatchAll" ma:showField="CatchAllData" ma:web="dda34308-2439-47f4-a9f1-4e4f5e730e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da34308-2439-47f4-a9f1-4e4f5e730ece">VCFQTU5KHKY7-25557670-112735</_dlc_DocId>
    <_dlc_DocIdUrl xmlns="dda34308-2439-47f4-a9f1-4e4f5e730ece">
      <Url>https://nxp1.sharepoint.com/teams/203_43/_layouts/15/DocIdRedir.aspx?ID=VCFQTU5KHKY7-25557670-112735</Url>
      <Description>VCFQTU5KHKY7-25557670-112735</Description>
    </_dlc_DocIdUrl>
    <TaxCatchAll xmlns="c4672b8b-43e2-4139-8cd1-27ad03f081e7" xsi:nil="true"/>
    <lcf76f155ced4ddcb4097134ff3c332f xmlns="5739b451-36b3-421a-ac5e-1226aa2bdef2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DD1C67-1F82-4D5B-B321-AA2BD8634B5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B198DC1-B4EB-4B88-AB3C-20CCB8A5C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a34308-2439-47f4-a9f1-4e4f5e730ece"/>
    <ds:schemaRef ds:uri="5739b451-36b3-421a-ac5e-1226aa2bdef2"/>
    <ds:schemaRef ds:uri="c4672b8b-43e2-4139-8cd1-27ad03f081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92B0E3-17B2-4C1F-B8FF-A61A8223DD30}">
  <ds:schemaRefs>
    <ds:schemaRef ds:uri="dda34308-2439-47f4-a9f1-4e4f5e730ece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5739b451-36b3-421a-ac5e-1226aa2bdef2"/>
    <ds:schemaRef ds:uri="http://purl.org/dc/terms/"/>
    <ds:schemaRef ds:uri="c4672b8b-43e2-4139-8cd1-27ad03f081e7"/>
  </ds:schemaRefs>
</ds:datastoreItem>
</file>

<file path=customXml/itemProps4.xml><?xml version="1.0" encoding="utf-8"?>
<ds:datastoreItem xmlns:ds="http://schemas.openxmlformats.org/officeDocument/2006/customXml" ds:itemID="{4F278B84-33FB-471B-AF72-4CC42B3B4C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140</vt:i4>
      </vt:variant>
    </vt:vector>
  </HeadingPairs>
  <TitlesOfParts>
    <vt:vector size="145" baseType="lpstr">
      <vt:lpstr>Document_Details</vt:lpstr>
      <vt:lpstr>Revision_History</vt:lpstr>
      <vt:lpstr>User_Guide</vt:lpstr>
      <vt:lpstr>FS26_PDTCALC</vt:lpstr>
      <vt:lpstr>Pull Down List</vt:lpstr>
      <vt:lpstr>Battery_Line_Voltage</vt:lpstr>
      <vt:lpstr>Boost_Additional_output_Current</vt:lpstr>
      <vt:lpstr>Boost_Delta_IL</vt:lpstr>
      <vt:lpstr>Boost_Duty_Cycle</vt:lpstr>
      <vt:lpstr>Boost_eff</vt:lpstr>
      <vt:lpstr>Boost_enable</vt:lpstr>
      <vt:lpstr>Boost_Input_Current</vt:lpstr>
      <vt:lpstr>Boost_Input_Voltage</vt:lpstr>
      <vt:lpstr>Boost_Ipeak</vt:lpstr>
      <vt:lpstr>Boost_Ivalley</vt:lpstr>
      <vt:lpstr>Boost_mode</vt:lpstr>
      <vt:lpstr>Boost_output_Current</vt:lpstr>
      <vt:lpstr>Boost_Output_Voltage</vt:lpstr>
      <vt:lpstr>Boost_P_Cin</vt:lpstr>
      <vt:lpstr>Boost_P_Cout</vt:lpstr>
      <vt:lpstr>Boost_P_diode</vt:lpstr>
      <vt:lpstr>Boost_P_L</vt:lpstr>
      <vt:lpstr>Boost_P_LS_cond</vt:lpstr>
      <vt:lpstr>Boost_P_LS_sw</vt:lpstr>
      <vt:lpstr>Boost_P_Rsense</vt:lpstr>
      <vt:lpstr>Boost_Pdis_IC</vt:lpstr>
      <vt:lpstr>Boost_Pdis_tot</vt:lpstr>
      <vt:lpstr>Boost_Pgl_s1_s2</vt:lpstr>
      <vt:lpstr>Boost_Pout</vt:lpstr>
      <vt:lpstr>Boost_Prms_s1_s2</vt:lpstr>
      <vt:lpstr>Boost_Psl_s1_s2</vt:lpstr>
      <vt:lpstr>Boost_Total_Output_Current</vt:lpstr>
      <vt:lpstr>Boost_Vdiode</vt:lpstr>
      <vt:lpstr>Conduction_MODE</vt:lpstr>
      <vt:lpstr>D_CCM</vt:lpstr>
      <vt:lpstr>D_DCM</vt:lpstr>
      <vt:lpstr>delta_IL_CCM</vt:lpstr>
      <vt:lpstr>delta_IL_DCM</vt:lpstr>
      <vt:lpstr>I_peak_CCM</vt:lpstr>
      <vt:lpstr>I_peak_DCM</vt:lpstr>
      <vt:lpstr>IBOS_TRK1</vt:lpstr>
      <vt:lpstr>IBOS_TRK2</vt:lpstr>
      <vt:lpstr>IBOS_VREF</vt:lpstr>
      <vt:lpstr>Iin_CCM</vt:lpstr>
      <vt:lpstr>Iin_DCM</vt:lpstr>
      <vt:lpstr>kilo</vt:lpstr>
      <vt:lpstr>L_coil</vt:lpstr>
      <vt:lpstr>LDO1_PDIS_IC</vt:lpstr>
      <vt:lpstr>LDO1_Pout</vt:lpstr>
      <vt:lpstr>Ldo1_Vin</vt:lpstr>
      <vt:lpstr>Ldo1_Vout</vt:lpstr>
      <vt:lpstr>LDO2_PDIS_IC</vt:lpstr>
      <vt:lpstr>LDO2_Pout</vt:lpstr>
      <vt:lpstr>Ldo2_Vin</vt:lpstr>
      <vt:lpstr>Ldo2_Vout</vt:lpstr>
      <vt:lpstr>Ldoref_Vout</vt:lpstr>
      <vt:lpstr>micro</vt:lpstr>
      <vt:lpstr>milli</vt:lpstr>
      <vt:lpstr>Pdis_Int_IC</vt:lpstr>
      <vt:lpstr>Pdis_tot_IC</vt:lpstr>
      <vt:lpstr>RBD_Voltage_Drop</vt:lpstr>
      <vt:lpstr>Rth_ja</vt:lpstr>
      <vt:lpstr>t_2</vt:lpstr>
      <vt:lpstr>Ta_max</vt:lpstr>
      <vt:lpstr>Tj</vt:lpstr>
      <vt:lpstr>Tj_max</vt:lpstr>
      <vt:lpstr>Trk1_Imax</vt:lpstr>
      <vt:lpstr>TRK1_PDIS_IC</vt:lpstr>
      <vt:lpstr>TRK1_Pout</vt:lpstr>
      <vt:lpstr>TRK1_REF</vt:lpstr>
      <vt:lpstr>Trk1_Rev_Rdson</vt:lpstr>
      <vt:lpstr>Trk1_Vin</vt:lpstr>
      <vt:lpstr>Trk1_Vout</vt:lpstr>
      <vt:lpstr>Trk2_Imax</vt:lpstr>
      <vt:lpstr>TRK2_PDIS_IC</vt:lpstr>
      <vt:lpstr>TRK2_Pout</vt:lpstr>
      <vt:lpstr>TRK2_REF</vt:lpstr>
      <vt:lpstr>Trk2_Rev_Rdson</vt:lpstr>
      <vt:lpstr>Trk2_Vin</vt:lpstr>
      <vt:lpstr>Trk2_Vout</vt:lpstr>
      <vt:lpstr>VBOS</vt:lpstr>
      <vt:lpstr>VBOS_IN</vt:lpstr>
      <vt:lpstr>Vcore_Delta_IL</vt:lpstr>
      <vt:lpstr>Vcore_Duty_Cycle</vt:lpstr>
      <vt:lpstr>Vcore_Eff</vt:lpstr>
      <vt:lpstr>Vcore_HS_drive_voltage</vt:lpstr>
      <vt:lpstr>Vcore_Imax</vt:lpstr>
      <vt:lpstr>Vcore_Input_Current</vt:lpstr>
      <vt:lpstr>Vcore_input_voltage</vt:lpstr>
      <vt:lpstr>Vcore_LS_Body_Diode_Voltage</vt:lpstr>
      <vt:lpstr>Vcore_LS_drive_voltage</vt:lpstr>
      <vt:lpstr>Vcore_Output_current</vt:lpstr>
      <vt:lpstr>Vcore_output_voltage</vt:lpstr>
      <vt:lpstr>Vcore_P_CIN</vt:lpstr>
      <vt:lpstr>Vcore_P_COUT</vt:lpstr>
      <vt:lpstr>Vcore_P_dead_time</vt:lpstr>
      <vt:lpstr>Vcore_P_HS_cond</vt:lpstr>
      <vt:lpstr>Vcore_P_HS_coss</vt:lpstr>
      <vt:lpstr>Vcore_P_HS_g</vt:lpstr>
      <vt:lpstr>Vcore_P_HS_sw</vt:lpstr>
      <vt:lpstr>Vcore_P_L</vt:lpstr>
      <vt:lpstr>Vcore_P_LS_cond</vt:lpstr>
      <vt:lpstr>Vcore_P_LS_coss</vt:lpstr>
      <vt:lpstr>Vcore_P_LS_g</vt:lpstr>
      <vt:lpstr>Vcore_P_LS_sw</vt:lpstr>
      <vt:lpstr>Vcore_PDIS_IC</vt:lpstr>
      <vt:lpstr>Vcore_Pdis_tot</vt:lpstr>
      <vt:lpstr>Vcore_Pout</vt:lpstr>
      <vt:lpstr>Vcore_Total_Output_current</vt:lpstr>
      <vt:lpstr>Vdiode_redefined</vt:lpstr>
      <vt:lpstr>Vpre_Additional_Output_current</vt:lpstr>
      <vt:lpstr>Vpre_Delta_IL</vt:lpstr>
      <vt:lpstr>Vpre_Duty_Cycle</vt:lpstr>
      <vt:lpstr>Vpre_Eff</vt:lpstr>
      <vt:lpstr>Vpre_HS_drive_voltage</vt:lpstr>
      <vt:lpstr>Vpre_IL_Peak</vt:lpstr>
      <vt:lpstr>Vpre_Imax</vt:lpstr>
      <vt:lpstr>Vpre_input_current</vt:lpstr>
      <vt:lpstr>Vpre_LS_Body_Diode_Voltage</vt:lpstr>
      <vt:lpstr>Vpre_LS_drive_voltage</vt:lpstr>
      <vt:lpstr>Vpre_Output_current</vt:lpstr>
      <vt:lpstr>Vpre_output_voltage</vt:lpstr>
      <vt:lpstr>VPRE_P_CIN</vt:lpstr>
      <vt:lpstr>VPRE_P_COUT</vt:lpstr>
      <vt:lpstr>Vpre_P_dead_time</vt:lpstr>
      <vt:lpstr>Vpre_P_HS_cond</vt:lpstr>
      <vt:lpstr>Vpre_P_HS_coss</vt:lpstr>
      <vt:lpstr>Vpre_P_HS_g</vt:lpstr>
      <vt:lpstr>Vpre_P_HS_sw</vt:lpstr>
      <vt:lpstr>VPRE_P_L</vt:lpstr>
      <vt:lpstr>Vpre_P_LS_cond</vt:lpstr>
      <vt:lpstr>Vpre_P_LS_coss</vt:lpstr>
      <vt:lpstr>Vpre_P_LS_g</vt:lpstr>
      <vt:lpstr>Vpre_P_LS_sw</vt:lpstr>
      <vt:lpstr>Vpre_P_qrr</vt:lpstr>
      <vt:lpstr>VPRE_PDIS_IC</vt:lpstr>
      <vt:lpstr>VPRE_Pdis_tot</vt:lpstr>
      <vt:lpstr>VPRE_Pout</vt:lpstr>
      <vt:lpstr>Vpre_SR</vt:lpstr>
      <vt:lpstr>Vpre_Total_Output_current</vt:lpstr>
      <vt:lpstr>VREF_in</vt:lpstr>
      <vt:lpstr>Vref_output_voltage</vt:lpstr>
      <vt:lpstr>VREF_PDIS_IC</vt:lpstr>
      <vt:lpstr>VREF_Pout</vt:lpstr>
      <vt:lpstr>Vsup</vt:lpstr>
    </vt:vector>
  </TitlesOfParts>
  <Company>Freescale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b19789</dc:creator>
  <cp:lastModifiedBy>Iliana Estrada</cp:lastModifiedBy>
  <cp:lastPrinted>2013-11-12T10:59:10Z</cp:lastPrinted>
  <dcterms:created xsi:type="dcterms:W3CDTF">2008-10-13T15:46:26Z</dcterms:created>
  <dcterms:modified xsi:type="dcterms:W3CDTF">2023-10-30T16:18:47Z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0x010100EB69A95B4F57C1418E27FEE4CD7E9D15</vt:lpwstr>
  </property>
  <property fmtid="{D5CDD505-2E9C-101B-9397-08002B2CF9AE}" pid="3" name="_dlc_DocIdItemGuid">
    <vt:lpwstr>0cd550f4-b3fa-4629-9e6b-975686a599bf</vt:lpwstr>
  </property>
  <property fmtid="{D5CDD505-2E9C-101B-9397-08002B2CF9AE}" pid="4" name="MediaServiceImageTags">
    <vt:lpwstr/>
  </property>
</Properties>
</file>